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berndoerfer\Desktop\"/>
    </mc:Choice>
  </mc:AlternateContent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P26" i="7" l="1"/>
  <c r="O26" i="7"/>
  <c r="O25" i="7"/>
  <c r="P14" i="7"/>
  <c r="O14" i="7"/>
  <c r="N26" i="7"/>
  <c r="M26" i="7"/>
  <c r="N25" i="7"/>
  <c r="M25" i="7"/>
  <c r="N14" i="7"/>
  <c r="M14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R25" i="7"/>
  <c r="S25" i="7"/>
  <c r="T25" i="7"/>
  <c r="U25" i="7"/>
  <c r="V25" i="7"/>
  <c r="W25" i="7"/>
  <c r="R26" i="7"/>
  <c r="S26" i="7"/>
  <c r="T26" i="7"/>
  <c r="U26" i="7"/>
  <c r="V26" i="7"/>
  <c r="W26" i="7"/>
  <c r="X26" i="7" l="1"/>
  <c r="Q26" i="7"/>
  <c r="X25" i="7"/>
  <c r="Q25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32" i="18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H53" i="18"/>
  <c r="H63" i="18"/>
  <c r="D24" i="15"/>
  <c r="C23" i="15"/>
  <c r="I31" i="18" l="1"/>
  <c r="K21" i="18"/>
  <c r="M31" i="18"/>
  <c r="L21" i="18"/>
  <c r="N31" i="18"/>
  <c r="I21" i="18"/>
  <c r="G31" i="18"/>
  <c r="M21" i="18"/>
  <c r="L31" i="18"/>
  <c r="J21" i="18"/>
  <c r="G21" i="18"/>
  <c r="N21" i="18"/>
  <c r="D56" i="18"/>
  <c r="J55" i="18" s="1"/>
  <c r="F31" i="18"/>
  <c r="K31" i="18"/>
  <c r="J31" i="18"/>
  <c r="H21" i="18"/>
  <c r="E21" i="18" s="1"/>
  <c r="D66" i="18"/>
  <c r="K65" i="18" s="1"/>
  <c r="F69" i="17"/>
  <c r="G69" i="17"/>
  <c r="H69" i="17"/>
  <c r="I69" i="17"/>
  <c r="J69" i="17"/>
  <c r="K69" i="17"/>
  <c r="L69" i="17"/>
  <c r="M69" i="17"/>
  <c r="N69" i="17"/>
  <c r="E69" i="17"/>
  <c r="N55" i="18" l="1"/>
  <c r="E31" i="18"/>
  <c r="I55" i="18"/>
  <c r="K55" i="18"/>
  <c r="M55" i="18"/>
  <c r="H55" i="18"/>
  <c r="F55" i="18"/>
  <c r="G55" i="18"/>
  <c r="M65" i="18"/>
  <c r="L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55" i="18" l="1"/>
  <c r="E65" i="18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<sst xmlns="http://schemas.openxmlformats.org/spreadsheetml/2006/main" count="1379" uniqueCount="680">
  <si>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</si>
  <si>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</si>
  <si>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</si>
  <si>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</si>
  <si>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</si>
  <si>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</si>
  <si>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</si>
  <si>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</si>
  <si>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</si>
  <si>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</si>
  <si>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</si>
  <si>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</si>
  <si>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</si>
  <si>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</si>
  <si>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</si>
  <si>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</si>
  <si>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</si>
  <si>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</si>
  <si>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</si>
  <si>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</si>
  <si>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</si>
  <si>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</si>
  <si>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</si>
  <si>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</si>
  <si>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</si>
  <si>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</si>
  <si>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</si>
  <si>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</si>
  <si>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</si>
  <si>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</si>
  <si>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</si>
  <si>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</si>
  <si>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</si>
  <si>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</si>
  <si>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</si>
  <si>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</si>
  <si>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</si>
  <si>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</si>
  <si>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</si>
  <si>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</si>
  <si>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</si>
  <si>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</si>
  <si>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</si>
  <si>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</si>
  <si>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</si>
  <si>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</si>
  <si>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</si>
  <si>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</si>
  <si>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</si>
  <si>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</si>
  <si>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</si>
  <si>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</si>
  <si>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</si>
  <si>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</si>
  <si>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</si>
  <si>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</si>
  <si>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</si>
  <si>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</si>
  <si>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</si>
  <si>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</si>
  <si>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</si>
  <si>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</si>
  <si>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</si>
  <si>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</si>
  <si>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</si>
  <si>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</si>
  <si>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</si>
  <si>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</si>
  <si>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</si>
  <si>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</si>
  <si>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</si>
  <si>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</si>
  <si>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</si>
  <si>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</si>
  <si>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</si>
  <si>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</si>
  <si>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</si>
  <si>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</si>
  <si>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</si>
  <si>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</si>
  <si>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</si>
  <si>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</si>
  <si>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</si>
  <si>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</si>
  <si>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</si>
  <si>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</si>
  <si>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</si>
  <si>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</si>
  <si>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</si>
  <si>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</si>
  <si>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</si>
  <si>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</si>
  <si>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</si>
  <si>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</si>
  <si>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</si>
  <si>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</si>
  <si>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</si>
  <si>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</si>
  <si>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</si>
  <si>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</si>
  <si>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</si>
  <si>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</si>
  <si>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</si>
  <si>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</si>
  <si>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</si>
  <si>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</si>
  <si>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</si>
  <si>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</si>
  <si>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</si>
  <si>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</si>
  <si>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</si>
  <si>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</si>
  <si>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</si>
  <si>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</si>
  <si>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</si>
  <si>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</si>
  <si>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</si>
  <si>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</si>
  <si>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</si>
  <si>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</si>
  <si>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</si>
  <si>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</si>
  <si>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</si>
  <si>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</si>
  <si>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</si>
  <si>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</si>
  <si>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</si>
  <si>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</si>
  <si>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</si>
  <si>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</si>
  <si>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</si>
  <si>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</si>
  <si>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</si>
  <si>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</si>
  <si>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</si>
  <si>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</si>
  <si>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</si>
  <si>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</si>
  <si>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</si>
  <si>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</si>
  <si>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</si>
  <si>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</si>
  <si>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</si>
  <si>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</si>
  <si>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</si>
  <si>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</si>
  <si>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</si>
  <si>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</si>
  <si>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</si>
  <si>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</si>
  <si>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</si>
  <si>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</si>
  <si>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</si>
  <si>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</si>
  <si>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</si>
  <si>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</si>
  <si>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</si>
  <si>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</si>
  <si>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</si>
  <si>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</si>
  <si>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</si>
  <si>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</si>
  <si>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</si>
  <si>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</si>
  <si>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</si>
  <si>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</si>
  <si>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</si>
  <si>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</si>
  <si>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</si>
  <si>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</si>
  <si>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</si>
  <si>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</si>
  <si>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</si>
  <si>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</si>
  <si>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</si>
  <si>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</si>
  <si>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</si>
  <si>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</si>
  <si>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</si>
  <si>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</si>
  <si>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</si>
  <si>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</si>
  <si>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</si>
  <si>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</si>
  <si>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</si>
  <si>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</si>
  <si>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</si>
  <si>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</si>
  <si>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</si>
  <si>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</si>
  <si>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</si>
  <si>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</si>
  <si>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</si>
  <si>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</si>
  <si>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</si>
  <si>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</si>
  <si>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</si>
  <si>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</si>
  <si>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</si>
  <si>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</si>
  <si>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</si>
  <si>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</si>
  <si>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</si>
  <si>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</si>
  <si>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</si>
  <si>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</si>
  <si>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</si>
  <si>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</si>
  <si>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</si>
  <si>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</si>
  <si>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</si>
  <si>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</si>
  <si>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</si>
  <si>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</si>
  <si>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</si>
  <si>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</si>
  <si>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</si>
  <si>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</si>
  <si>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</si>
  <si>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</si>
  <si>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</si>
  <si>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</si>
  <si>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</si>
  <si>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</si>
  <si>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</si>
  <si>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</si>
  <si>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</si>
  <si>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</si>
  <si>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</si>
  <si>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</si>
  <si>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</si>
  <si>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</si>
  <si>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</si>
  <si>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</si>
  <si>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</si>
  <si>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</si>
  <si>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</si>
  <si>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</si>
  <si>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</si>
  <si>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</si>
  <si>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</si>
  <si>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</si>
  <si>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</si>
  <si>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</si>
  <si>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</si>
  <si>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</si>
  <si>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</si>
  <si>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</si>
  <si>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</si>
  <si>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</si>
  <si>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</si>
  <si>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</si>
  <si>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</si>
  <si>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</si>
  <si>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</si>
  <si>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</si>
  <si>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</si>
  <si>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</si>
  <si>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</si>
  <si>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</si>
  <si>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</si>
  <si>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</si>
  <si>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</si>
  <si>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</si>
  <si>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</si>
  <si>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</si>
  <si>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</si>
  <si>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</si>
  <si>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</si>
  <si>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</si>
  <si>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</si>
  <si>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</si>
  <si>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</si>
  <si>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</si>
  <si>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</si>
  <si>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</si>
  <si>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</si>
  <si>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</si>
  <si>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</si>
  <si>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</si>
  <si>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</si>
  <si>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</si>
  <si>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</si>
  <si>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</si>
  <si>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</si>
  <si>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</si>
  <si>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</si>
  <si>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</si>
  <si>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</si>
  <si>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</si>
  <si>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</si>
  <si>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</si>
  <si>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</si>
  <si>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</si>
  <si>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</si>
  <si>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</si>
  <si>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</si>
  <si>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</si>
  <si>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</si>
  <si>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</si>
  <si>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</si>
  <si>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</si>
  <si>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</si>
  <si>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</si>
  <si>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</si>
  <si>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</si>
  <si>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</si>
  <si>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</si>
  <si>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</si>
  <si>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</si>
  <si>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</si>
  <si>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</si>
  <si>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</si>
  <si>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</si>
  <si>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</si>
  <si>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</si>
  <si>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</si>
  <si>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</si>
  <si>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</si>
  <si>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</si>
  <si>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</si>
  <si>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</si>
  <si>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</si>
  <si>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</si>
  <si>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</si>
  <si>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</si>
  <si>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</si>
  <si>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</si>
  <si>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</si>
  <si>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</si>
  <si>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</si>
  <si>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</si>
  <si>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</si>
  <si>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</si>
  <si>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</si>
  <si>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</si>
  <si>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</si>
  <si>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</si>
  <si>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</si>
  <si>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</si>
  <si>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</si>
  <si>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</si>
  <si>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</si>
  <si>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</si>
  <si>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</si>
  <si>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</si>
  <si>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</si>
  <si>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</si>
  <si>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</si>
  <si>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</si>
  <si>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</si>
  <si>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</si>
  <si>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</si>
  <si>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</si>
  <si>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</si>
  <si>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</si>
  <si>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</si>
  <si>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</si>
  <si>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</si>
  <si>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</si>
  <si>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</si>
  <si>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</si>
  <si>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</si>
  <si>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</si>
  <si>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</si>
  <si>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</si>
  <si>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</si>
  <si>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</si>
  <si>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</si>
  <si>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</si>
  <si>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</si>
  <si>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</si>
  <si>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</si>
  <si>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</si>
  <si>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</si>
  <si>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</si>
  <si>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</si>
  <si>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</si>
  <si>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</si>
  <si>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</si>
  <si>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</si>
  <si>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</si>
  <si>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</si>
  <si>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</si>
  <si>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</si>
  <si>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</si>
  <si>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</si>
  <si>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</si>
  <si>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</si>
  <si>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</si>
  <si>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</si>
  <si>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</si>
  <si>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</si>
  <si>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</si>
  <si>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</si>
  <si>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</si>
  <si>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</si>
  <si>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</si>
  <si>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</si>
  <si>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</si>
  <si>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</si>
  <si>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</si>
  <si>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</si>
  <si>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</si>
  <si>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</si>
  <si>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</si>
  <si>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</si>
  <si>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</si>
  <si>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</si>
  <si>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</si>
  <si>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</si>
  <si>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</si>
  <si>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</si>
  <si>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</si>
  <si>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</si>
  <si>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</si>
  <si>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</si>
  <si>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</si>
  <si>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</si>
  <si>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</si>
  <si>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</si>
  <si>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</si>
  <si>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</si>
  <si>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</si>
  <si>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</si>
  <si>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</si>
  <si>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</si>
  <si>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</si>
  <si>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</si>
  <si>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</si>
  <si>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</si>
  <si>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</si>
  <si>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</si>
  <si>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</si>
  <si>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</si>
  <si>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</si>
  <si>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</si>
  <si>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</si>
  <si>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</si>
  <si>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</si>
  <si>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</si>
  <si>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</si>
  <si>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</si>
  <si>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</si>
  <si>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</si>
  <si>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</si>
  <si>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</si>
  <si>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</si>
  <si>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</si>
  <si>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</si>
  <si>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</si>
  <si>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</si>
  <si>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</si>
  <si>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</si>
  <si>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</si>
  <si>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</si>
  <si>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</si>
  <si>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</si>
  <si>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</si>
  <si>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</si>
  <si>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</si>
  <si>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</si>
  <si>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</si>
  <si>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</si>
  <si>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</si>
  <si>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</si>
  <si>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</si>
  <si>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</si>
  <si>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</si>
  <si>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</si>
  <si>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</si>
  <si>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</si>
  <si>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</si>
  <si>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</si>
  <si>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</si>
  <si>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</si>
  <si>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</si>
  <si>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</si>
  <si>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</si>
  <si>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</si>
  <si>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</si>
  <si>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</si>
  <si>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</si>
  <si>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</si>
  <si>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</si>
  <si>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</si>
  <si>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</si>
  <si>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</si>
  <si>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</si>
  <si>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</si>
  <si>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</si>
  <si>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</si>
  <si>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</si>
  <si>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</si>
  <si>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</si>
  <si>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</si>
  <si>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</si>
  <si>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</si>
  <si>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</si>
  <si>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</si>
  <si>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</si>
  <si>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</si>
  <si>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</si>
  <si>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</si>
  <si>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</si>
  <si>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</si>
  <si>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</si>
  <si>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</si>
  <si>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</si>
  <si>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</si>
  <si>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</si>
  <si>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</si>
  <si>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</si>
  <si>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</si>
  <si>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</si>
  <si>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</si>
  <si>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</si>
  <si>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</si>
  <si>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</si>
  <si>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</si>
  <si>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</si>
  <si>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</si>
  <si>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</si>
  <si>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</si>
  <si>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</si>
  <si>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</si>
  <si>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</si>
  <si>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</si>
  <si>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</si>
  <si>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</si>
  <si>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</si>
  <si>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</si>
  <si>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</si>
  <si>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</si>
  <si>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</si>
  <si>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</si>
  <si>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</si>
  <si>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</si>
  <si>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</si>
  <si>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</si>
  <si>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</si>
  <si>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</si>
  <si>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</si>
  <si>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</si>
  <si>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</si>
  <si>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</si>
  <si>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</si>
  <si>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</si>
  <si>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</si>
  <si>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</si>
  <si>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</si>
  <si>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</si>
  <si>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</si>
  <si>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</si>
  <si>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</si>
  <si>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</si>
  <si>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</si>
  <si>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</si>
  <si>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</si>
  <si>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</si>
  <si>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</si>
  <si>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</si>
  <si>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</si>
  <si>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</si>
  <si>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</si>
  <si>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</si>
  <si>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</si>
  <si>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</si>
  <si>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</si>
  <si>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</si>
  <si>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</si>
  <si>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</si>
  <si>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</si>
  <si>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</si>
  <si>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</si>
  <si>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</si>
  <si>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</si>
  <si>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</si>
  <si>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</si>
  <si>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</si>
  <si>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</si>
  <si>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</si>
  <si>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</si>
  <si>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</si>
  <si>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</si>
  <si>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</si>
  <si>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</si>
  <si>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</si>
  <si>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</si>
  <si>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</si>
  <si>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</si>
  <si>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</si>
  <si>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</si>
  <si>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</si>
  <si>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</si>
  <si>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</si>
  <si>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</si>
  <si>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</si>
  <si>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</si>
  <si>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</si>
  <si>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</si>
  <si>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</si>
  <si>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</si>
  <si>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</si>
  <si>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</si>
  <si>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</si>
  <si>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</si>
  <si>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</si>
  <si>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</si>
  <si>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</si>
  <si>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</si>
  <si>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</si>
  <si>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</si>
  <si>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</si>
  <si>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</si>
  <si>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</si>
  <si>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</si>
  <si>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</si>
  <si>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</si>
  <si>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</si>
  <si>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</si>
  <si>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</si>
  <si>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</si>
  <si>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</si>
  <si>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</si>
  <si>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</si>
  <si>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</si>
  <si>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</si>
  <si>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</si>
  <si>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</si>
  <si>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</si>
  <si>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</si>
  <si>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</si>
  <si>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</si>
  <si>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</si>
  <si>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</si>
  <si>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</si>
  <si>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</si>
  <si>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</si>
  <si>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</si>
  <si>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</si>
  <si>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</si>
  <si>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</si>
  <si>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</si>
  <si>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</si>
  <si>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</si>
  <si>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</si>
  <si>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</si>
  <si>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</si>
  <si>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</si>
  <si>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</si>
  <si>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</si>
  <si>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</si>
  <si>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</si>
  <si>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</si>
  <si>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</si>
  <si>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</si>
  <si>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Philipp Oberndörfer</t>
  </si>
  <si>
    <t>Gollhofen</t>
  </si>
  <si>
    <t>Erdgas Uffenheim GmbH &amp; Co. KG</t>
  </si>
  <si>
    <t>9870103100002</t>
  </si>
  <si>
    <t>Geckenheimer Steig 13</t>
  </si>
  <si>
    <t>D-97215</t>
  </si>
  <si>
    <t>Uffenheim</t>
  </si>
  <si>
    <t>oberndoerfer@swuffenheim.de</t>
  </si>
  <si>
    <t>09842 / 98 58 80</t>
  </si>
  <si>
    <t>NCHN007010310000</t>
  </si>
  <si>
    <t>K4091</t>
  </si>
  <si>
    <t>DE_GBA03</t>
  </si>
  <si>
    <t>DE_GBH03</t>
  </si>
  <si>
    <t>DE_GKO03</t>
  </si>
  <si>
    <t>DE_GGB03</t>
  </si>
  <si>
    <t>DE_GGA03</t>
  </si>
  <si>
    <t>DE_GHA03</t>
  </si>
  <si>
    <t>DE_GMF03</t>
  </si>
  <si>
    <t>DE_GMK03</t>
  </si>
  <si>
    <t>DE_GPD03</t>
  </si>
  <si>
    <t>DE_GBD03</t>
  </si>
  <si>
    <t>DE_GWA03</t>
  </si>
  <si>
    <t>DE_GHD03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</si>
</sst>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  <numFmt numFmtId="197" formatCode="_-* #,##0.00\ &quot;€&quot;_-;\-* #,##0.00\ &quot;€&quot;_-;_-* &quot;-&quot;??\ &quot;€&quot;_-;_-@_-"/>
    <numFmt numFmtId="198" formatCode="_-* #,##0.00\ _€_-;\-* #,##0.00\ _€_-;_-* &quot;-&quot;??\ _€_-;_-@_-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198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3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</cellXfs>
  <cellStyles count="158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Euro 2 2" xfId="156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2 2 2" xfId="157"/>
    <cellStyle name="Komma 2 3" xfId="154"/>
    <cellStyle name="Komma 3" xfId="70"/>
    <cellStyle name="Komma 3 2" xfId="155"/>
    <cellStyle name="Komma 4" xfId="153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91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rndoerfer/Downloads/SLP-Gas-Verfahrensspezifische-Parameter-SWW-07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H16" sqref="H16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6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0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Uffenheim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90" priority="2">
      <formula>IF(CELL("Zeile",D29)&lt;$D$25+CELL("Zeile",$D$29),1,0)</formula>
    </cfRule>
  </conditionalFormatting>
  <conditionalFormatting sqref="D30:D48">
    <cfRule type="expression" dxfId="8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Erdgas Uffenheim GmbH &amp; Co. KG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Uffenheim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7" t="str">
        <f>Netzbetreiber!$D$11</f>
        <v>9870103100002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6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663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88" priority="21">
      <formula>IF($D$11="Gaspool",1,0)</formula>
    </cfRule>
  </conditionalFormatting>
  <conditionalFormatting sqref="D16">
    <cfRule type="expression" dxfId="87" priority="18">
      <formula>IF($D$11="NCG",1,0)</formula>
    </cfRule>
  </conditionalFormatting>
  <conditionalFormatting sqref="D48:D62">
    <cfRule type="expression" dxfId="86" priority="17">
      <formula>IF(CELL("Zeile",D48)&lt;$D$46+CELL("Zeile",$D$48),1,0)</formula>
    </cfRule>
  </conditionalFormatting>
  <conditionalFormatting sqref="D49:D62">
    <cfRule type="expression" dxfId="85" priority="16">
      <formula>IF(CELL(D49)&lt;$D$36+27,1,0)</formula>
    </cfRule>
  </conditionalFormatting>
  <conditionalFormatting sqref="D23">
    <cfRule type="expression" dxfId="84" priority="15">
      <formula>IF($D$22=$H$22,1,0)</formula>
    </cfRule>
  </conditionalFormatting>
  <conditionalFormatting sqref="D31">
    <cfRule type="expression" dxfId="83" priority="4">
      <formula>IF($D$18="synthetisch",1,0)</formula>
    </cfRule>
  </conditionalFormatting>
  <conditionalFormatting sqref="D28">
    <cfRule type="expression" dxfId="82" priority="2">
      <formula>IF(AND($D$27=$I$27,$D$26=$H$26),1,0)</formula>
    </cfRule>
  </conditionalFormatting>
  <conditionalFormatting sqref="D26:D28">
    <cfRule type="expression" dxfId="81" priority="5">
      <formula>IF($D$18="analytisch",1,0)</formula>
    </cfRule>
  </conditionalFormatting>
  <conditionalFormatting sqref="D27">
    <cfRule type="expression" dxfId="8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29" t="str">
        <f>Netzbetreiber!D9</f>
        <v>Erdgas Uffenheim GmbH &amp; Co. KG</v>
      </c>
      <c r="F4" s="329"/>
      <c r="G4" s="329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Uffenheim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8" t="str">
        <f>Netzbetreiber!D11</f>
        <v>9870103100002</v>
      </c>
      <c r="F6" s="328"/>
      <c r="G6" s="328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2" t="str">
        <f>INDEX('SLP-Verfahren'!D48:D62,'SLP-Temp-Gebiet #01'!F10)</f>
        <v>Uffenheim</v>
      </c>
      <c r="G11" s="332"/>
      <c r="H11" s="28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9" t="s">
        <v>586</v>
      </c>
      <c r="D13" s="339"/>
      <c r="E13" s="339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0" t="s">
        <v>451</v>
      </c>
      <c r="D14" s="340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1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0" t="s">
        <v>388</v>
      </c>
      <c r="D15" s="340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658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667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Gollhofen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K4091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1" t="s">
        <v>582</v>
      </c>
      <c r="D72" s="341"/>
      <c r="E72" s="341"/>
      <c r="F72" s="34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78" priority="28">
      <formula>IF(E$20&lt;=$F$18,1,0)</formula>
    </cfRule>
  </conditionalFormatting>
  <conditionalFormatting sqref="E32:N36">
    <cfRule type="expression" dxfId="77" priority="27">
      <formula>IF(E$30&lt;=$F$28,1,0)</formula>
    </cfRule>
  </conditionalFormatting>
  <conditionalFormatting sqref="E26:F26">
    <cfRule type="expression" dxfId="76" priority="26">
      <formula>IF(E$20&lt;=$F$18,1,0)</formula>
    </cfRule>
  </conditionalFormatting>
  <conditionalFormatting sqref="E26:N26">
    <cfRule type="expression" dxfId="75" priority="25">
      <formula>IF(E$20&lt;=$F$18,1,0)</formula>
    </cfRule>
  </conditionalFormatting>
  <conditionalFormatting sqref="E56:N59">
    <cfRule type="expression" dxfId="74" priority="22">
      <formula>IF(E$54&lt;=$F$52,1,0)</formula>
    </cfRule>
  </conditionalFormatting>
  <conditionalFormatting sqref="E60:N60">
    <cfRule type="expression" dxfId="73" priority="21">
      <formula>IF(E$54&lt;=$F$52,1,0)</formula>
    </cfRule>
  </conditionalFormatting>
  <conditionalFormatting sqref="E66:N68">
    <cfRule type="expression" dxfId="72" priority="15">
      <formula>IF(E$64&lt;=$F$62,1,0)</formula>
    </cfRule>
  </conditionalFormatting>
  <conditionalFormatting sqref="E65:N68 E70:N70">
    <cfRule type="expression" dxfId="71" priority="13">
      <formula>IF(E$64&gt;$F$62,1,0)</formula>
    </cfRule>
  </conditionalFormatting>
  <conditionalFormatting sqref="E56:N60">
    <cfRule type="expression" dxfId="70" priority="12">
      <formula>IF(E$54&gt;$F$52,1,0)</formula>
    </cfRule>
  </conditionalFormatting>
  <conditionalFormatting sqref="E21:N26">
    <cfRule type="expression" dxfId="69" priority="11">
      <formula>IF(E$20&gt;$F$18,1,0)</formula>
    </cfRule>
  </conditionalFormatting>
  <conditionalFormatting sqref="E32:N36">
    <cfRule type="expression" dxfId="68" priority="10">
      <formula>IF(E$30&gt;$F$28,1,0)</formula>
    </cfRule>
  </conditionalFormatting>
  <conditionalFormatting sqref="H11 H8:H9">
    <cfRule type="expression" dxfId="67" priority="9">
      <formula>IF($F$9=1,1,0)</formula>
    </cfRule>
  </conditionalFormatting>
  <conditionalFormatting sqref="E55:N55">
    <cfRule type="expression" dxfId="66" priority="8">
      <formula>IF(E$54&gt;$F$52,1,0)</formula>
    </cfRule>
  </conditionalFormatting>
  <conditionalFormatting sqref="E31:N31">
    <cfRule type="expression" dxfId="65" priority="7">
      <formula>IF(E$30&gt;$F$28,1,0)</formula>
    </cfRule>
  </conditionalFormatting>
  <conditionalFormatting sqref="E70:N70">
    <cfRule type="expression" dxfId="64" priority="6">
      <formula>IF(E$64&lt;=$F$62,1,0)</formula>
    </cfRule>
  </conditionalFormatting>
  <conditionalFormatting sqref="H10">
    <cfRule type="expression" dxfId="63" priority="5">
      <formula>IF($F$9=1,1,0)</formula>
    </cfRule>
  </conditionalFormatting>
  <conditionalFormatting sqref="E69:N69">
    <cfRule type="expression" dxfId="62" priority="2">
      <formula>IF(E$64&lt;=$F$62,1,0)</formula>
    </cfRule>
  </conditionalFormatting>
  <conditionalFormatting sqref="E69:N69">
    <cfRule type="expression" dxfId="6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29" t="str">
        <f>Netzbetreiber!$D$9</f>
        <v>Erdgas Uffenheim GmbH &amp; Co. KG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Uffenheim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8" t="str">
        <f>Netzbetreiber!$D$11</f>
        <v>9870103100002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2">
        <f>INDEX('SLP-Verfahren'!D48:D62,'SLP-Temp-Gebiet #02'!F10)</f>
        <v>0</v>
      </c>
      <c r="G11" s="332"/>
      <c r="H11" s="28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9" t="s">
        <v>586</v>
      </c>
      <c r="D13" s="339"/>
      <c r="E13" s="339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0" t="s">
        <v>451</v>
      </c>
      <c r="D14" s="340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1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0" t="s">
        <v>388</v>
      </c>
      <c r="D15" s="340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89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8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1" t="s">
        <v>582</v>
      </c>
      <c r="D72" s="341"/>
      <c r="E72" s="341"/>
      <c r="F72" s="34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0" priority="18">
      <formula>IF(E$20&lt;=$F$18,1,0)</formula>
    </cfRule>
  </conditionalFormatting>
  <conditionalFormatting sqref="E32:N36">
    <cfRule type="expression" dxfId="59" priority="17">
      <formula>IF(E$30&lt;=$F$28,1,0)</formula>
    </cfRule>
  </conditionalFormatting>
  <conditionalFormatting sqref="E26:F26">
    <cfRule type="expression" dxfId="58" priority="16">
      <formula>IF(E$20&lt;=$F$18,1,0)</formula>
    </cfRule>
  </conditionalFormatting>
  <conditionalFormatting sqref="E26:N26">
    <cfRule type="expression" dxfId="57" priority="15">
      <formula>IF(E$20&lt;=$F$18,1,0)</formula>
    </cfRule>
  </conditionalFormatting>
  <conditionalFormatting sqref="E56:N59">
    <cfRule type="expression" dxfId="56" priority="14">
      <formula>IF(E$54&lt;=$F$52,1,0)</formula>
    </cfRule>
  </conditionalFormatting>
  <conditionalFormatting sqref="E60:N60">
    <cfRule type="expression" dxfId="55" priority="13">
      <formula>IF(E$54&lt;=$F$52,1,0)</formula>
    </cfRule>
  </conditionalFormatting>
  <conditionalFormatting sqref="E66:N68">
    <cfRule type="expression" dxfId="54" priority="12">
      <formula>IF(E$64&lt;=$F$62,1,0)</formula>
    </cfRule>
  </conditionalFormatting>
  <conditionalFormatting sqref="E65:N68 E70:N70">
    <cfRule type="expression" dxfId="53" priority="11">
      <formula>IF(E$64&gt;$F$62,1,0)</formula>
    </cfRule>
  </conditionalFormatting>
  <conditionalFormatting sqref="E56:N60">
    <cfRule type="expression" dxfId="52" priority="10">
      <formula>IF(E$54&gt;$F$52,1,0)</formula>
    </cfRule>
  </conditionalFormatting>
  <conditionalFormatting sqref="E21:N26">
    <cfRule type="expression" dxfId="51" priority="9">
      <formula>IF(E$20&gt;$F$18,1,0)</formula>
    </cfRule>
  </conditionalFormatting>
  <conditionalFormatting sqref="E32:N36">
    <cfRule type="expression" dxfId="50" priority="8">
      <formula>IF(E$30&gt;$F$28,1,0)</formula>
    </cfRule>
  </conditionalFormatting>
  <conditionalFormatting sqref="H11 H8:H9">
    <cfRule type="expression" dxfId="49" priority="7">
      <formula>IF($F$9=1,1,0)</formula>
    </cfRule>
  </conditionalFormatting>
  <conditionalFormatting sqref="E55:N55">
    <cfRule type="expression" dxfId="48" priority="6">
      <formula>IF(E$54&gt;$F$52,1,0)</formula>
    </cfRule>
  </conditionalFormatting>
  <conditionalFormatting sqref="E31:N31">
    <cfRule type="expression" dxfId="47" priority="5">
      <formula>IF(E$30&gt;$F$28,1,0)</formula>
    </cfRule>
  </conditionalFormatting>
  <conditionalFormatting sqref="E70:N70">
    <cfRule type="expression" dxfId="46" priority="4">
      <formula>IF(E$64&lt;=$F$62,1,0)</formula>
    </cfRule>
  </conditionalFormatting>
  <conditionalFormatting sqref="H10">
    <cfRule type="expression" dxfId="45" priority="3">
      <formula>IF($F$9=1,1,0)</formula>
    </cfRule>
  </conditionalFormatting>
  <conditionalFormatting sqref="E69:N69">
    <cfRule type="expression" dxfId="44" priority="2">
      <formula>IF(E$64&lt;=$F$62,1,0)</formula>
    </cfRule>
  </conditionalFormatting>
  <conditionalFormatting sqref="E69:N69">
    <cfRule type="expression" dxfId="4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I14" sqref="I14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Erdgas Uffenheim GmbH &amp; Co. KG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Uffenheim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9870103100002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3" t="s">
        <v>650</v>
      </c>
    </row>
    <row r="11" spans="2:26" ht="15.75" thickBot="1">
      <c r="B11" s="139" t="s">
        <v>499</v>
      </c>
      <c r="C11" s="140" t="s">
        <v>512</v>
      </c>
      <c r="D11" s="292" t="s">
        <v>247</v>
      </c>
      <c r="E11" s="164" t="s">
        <v>519</v>
      </c>
      <c r="F11" s="294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0">
        <v>365.12299999999999</v>
      </c>
    </row>
    <row r="12" spans="2:26">
      <c r="B12" s="141">
        <v>1</v>
      </c>
      <c r="C12" s="142" t="str">
        <f t="shared" ref="C12:C41" si="0">$D$6</f>
        <v>Uffenheim</v>
      </c>
      <c r="D12" s="62" t="s">
        <v>247</v>
      </c>
      <c r="E12" s="354" t="s">
        <v>51</v>
      </c>
      <c r="F12" s="356" t="s">
        <v>318</v>
      </c>
      <c r="H12" s="355">
        <v>3.0217399</v>
      </c>
      <c r="I12" s="355">
        <v>-37.182360000000003</v>
      </c>
      <c r="J12" s="355">
        <v>5.6477170000000001</v>
      </c>
      <c r="K12" s="355">
        <v>9.5626199999999995E-2</v>
      </c>
      <c r="L12" s="336">
        <v>40</v>
      </c>
      <c r="M12" s="355">
        <v>0</v>
      </c>
      <c r="N12" s="355">
        <v>0</v>
      </c>
      <c r="O12" s="355">
        <v>0</v>
      </c>
      <c r="P12" s="355">
        <v>0</v>
      </c>
      <c r="Q12" s="337">
        <f t="shared" ref="Q12:Q26" si="1">($H12/(1+($I12/($Q$9-$L12))^$J12)+$K12)+MAX($M12*$Q$9+$N12,$O12*$Q$9+$P12)</f>
        <v>1.0018840312810888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10"/>
    </row>
    <row r="13" spans="2:26" s="143" customFormat="1">
      <c r="B13" s="144">
        <v>2</v>
      </c>
      <c r="C13" s="145" t="str">
        <f t="shared" si="0"/>
        <v>Uffenheim</v>
      </c>
      <c r="D13" s="62" t="s">
        <v>247</v>
      </c>
      <c r="E13" s="354" t="s">
        <v>61</v>
      </c>
      <c r="F13" s="356" t="s">
        <v>328</v>
      </c>
      <c r="H13" s="355">
        <v>2.3548083000000002</v>
      </c>
      <c r="I13" s="355">
        <v>-34.715029899999998</v>
      </c>
      <c r="J13" s="355">
        <v>5.8675639000000004</v>
      </c>
      <c r="K13" s="355">
        <v>0.12524099999999999</v>
      </c>
      <c r="L13" s="357">
        <v>40</v>
      </c>
      <c r="M13" s="355">
        <v>0</v>
      </c>
      <c r="N13" s="355">
        <v>0</v>
      </c>
      <c r="O13" s="355">
        <v>0</v>
      </c>
      <c r="P13" s="355">
        <v>0</v>
      </c>
      <c r="Q13" s="337">
        <f t="shared" si="1"/>
        <v>1.0265751969480519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26" si="2">7-SUM(R13:W13)</f>
        <v>1</v>
      </c>
      <c r="Y13" s="291"/>
      <c r="Z13" s="210"/>
    </row>
    <row r="14" spans="2:26" s="143" customFormat="1">
      <c r="B14" s="144">
        <v>3</v>
      </c>
      <c r="C14" s="145" t="str">
        <f t="shared" si="0"/>
        <v>Uffenheim</v>
      </c>
      <c r="D14" s="62" t="s">
        <v>247</v>
      </c>
      <c r="E14" s="354" t="s">
        <v>4</v>
      </c>
      <c r="F14" s="356" t="str">
        <f>VLOOKUP($E14,'[1]BDEW-Standard'!$B$3:$M$94,F$9,0)</f>
        <v>HK3</v>
      </c>
      <c r="H14" s="355">
        <f>ROUND(VLOOKUP($E14,'[1]BDEW-Standard'!$B$3:$M$94,H$9,0),7)</f>
        <v>0.40409319999999999</v>
      </c>
      <c r="I14" s="355">
        <f>ROUND(VLOOKUP($E14,'[1]BDEW-Standard'!$B$3:$M$94,I$9,0),7)</f>
        <v>-24.439296800000001</v>
      </c>
      <c r="J14" s="355">
        <f>ROUND(VLOOKUP($E14,'[1]BDEW-Standard'!$B$3:$M$94,J$9,0),7)</f>
        <v>6.5718174999999999</v>
      </c>
      <c r="K14" s="355">
        <f>ROUND(VLOOKUP($E14,'[1]BDEW-Standard'!$B$3:$M$94,K$9,0),7)</f>
        <v>0.71077100000000004</v>
      </c>
      <c r="L14" s="357">
        <v>40</v>
      </c>
      <c r="M14" s="355">
        <f>ROUND(VLOOKUP($E14,'[1]BDEW-Standard'!$B$3:$M$94,M$9,0),7)</f>
        <v>0</v>
      </c>
      <c r="N14" s="355">
        <f>ROUND(VLOOKUP($E14,'[1]BDEW-Standard'!$B$3:$M$94,N$9,0),7)</f>
        <v>0</v>
      </c>
      <c r="O14" s="355">
        <f>ROUND(VLOOKUP($E14,'[1]BDEW-Standard'!$B$3:$M$94,O$9,0),7)</f>
        <v>0</v>
      </c>
      <c r="P14" s="355">
        <f>ROUND(VLOOKUP($E14,'[1]BDEW-Standard'!$B$3:$M$94,P$9,0),7)</f>
        <v>0</v>
      </c>
      <c r="Q14" s="337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10"/>
    </row>
    <row r="15" spans="2:26" s="143" customFormat="1">
      <c r="B15" s="144">
        <v>4</v>
      </c>
      <c r="C15" s="145" t="str">
        <f t="shared" si="0"/>
        <v>Uffenheim</v>
      </c>
      <c r="D15" s="62" t="s">
        <v>247</v>
      </c>
      <c r="E15" s="354" t="s">
        <v>668</v>
      </c>
      <c r="F15" s="356" t="str">
        <f>VLOOKUP($E15,'[1]BDEW-Standard'!$B$3:$M$94,F$9,0)</f>
        <v>BA3</v>
      </c>
      <c r="H15" s="355">
        <f>ROUND(VLOOKUP($E15,'[1]BDEW-Standard'!$B$3:$M$94,H$9,0),7)</f>
        <v>0.62619619999999998</v>
      </c>
      <c r="I15" s="355">
        <f>ROUND(VLOOKUP($E15,'[1]BDEW-Standard'!$B$3:$M$94,I$9,0),7)</f>
        <v>-33</v>
      </c>
      <c r="J15" s="355">
        <f>ROUND(VLOOKUP($E15,'[1]BDEW-Standard'!$B$3:$M$94,J$9,0),7)</f>
        <v>5.7212303000000002</v>
      </c>
      <c r="K15" s="355">
        <f>ROUND(VLOOKUP($E15,'[1]BDEW-Standard'!$B$3:$M$94,K$9,0),7)</f>
        <v>0.78556550000000003</v>
      </c>
      <c r="L15" s="357">
        <v>40</v>
      </c>
      <c r="M15" s="355">
        <v>0</v>
      </c>
      <c r="N15" s="355">
        <v>0</v>
      </c>
      <c r="O15" s="355">
        <v>0</v>
      </c>
      <c r="P15" s="355">
        <v>0</v>
      </c>
      <c r="Q15" s="337">
        <f t="shared" si="1"/>
        <v>1.0711738317583412</v>
      </c>
      <c r="R15" s="273">
        <f>ROUND(VLOOKUP(MID($E15,4,3),'Wochentag F(WT)'!$B$7:$J$22,R$9,0),4)</f>
        <v>1.0848</v>
      </c>
      <c r="S15" s="273">
        <f>ROUND(VLOOKUP(MID($E15,4,3),'Wochentag F(WT)'!$B$7:$J$22,S$9,0),4)</f>
        <v>1.1211</v>
      </c>
      <c r="T15" s="273">
        <f>ROUND(VLOOKUP(MID($E15,4,3),'Wochentag F(WT)'!$B$7:$J$22,T$9,0),4)</f>
        <v>1.0769</v>
      </c>
      <c r="U15" s="273">
        <f>ROUND(VLOOKUP(MID($E15,4,3),'Wochentag F(WT)'!$B$7:$J$22,U$9,0),4)</f>
        <v>1.1353</v>
      </c>
      <c r="V15" s="273">
        <f>ROUND(VLOOKUP(MID($E15,4,3),'Wochentag F(WT)'!$B$7:$J$22,V$9,0),4)</f>
        <v>1.1402000000000001</v>
      </c>
      <c r="W15" s="273">
        <f>ROUND(VLOOKUP(MID($E15,4,3),'Wochentag F(WT)'!$B$7:$J$22,W$9,0),4)</f>
        <v>0.48520000000000002</v>
      </c>
      <c r="X15" s="274">
        <f t="shared" si="2"/>
        <v>0.95650000000000013</v>
      </c>
      <c r="Y15" s="291"/>
      <c r="Z15" s="210"/>
    </row>
    <row r="16" spans="2:26" s="143" customFormat="1">
      <c r="B16" s="144">
        <v>5</v>
      </c>
      <c r="C16" s="145" t="str">
        <f t="shared" si="0"/>
        <v>Uffenheim</v>
      </c>
      <c r="D16" s="62" t="s">
        <v>247</v>
      </c>
      <c r="E16" s="354" t="s">
        <v>669</v>
      </c>
      <c r="F16" s="356" t="str">
        <f>VLOOKUP($E16,'[1]BDEW-Standard'!$B$3:$M$94,F$9,0)</f>
        <v>BH3</v>
      </c>
      <c r="H16" s="355">
        <f>ROUND(VLOOKUP($E16,'[1]BDEW-Standard'!$B$3:$M$94,H$9,0),7)</f>
        <v>2.0102471999999998</v>
      </c>
      <c r="I16" s="355">
        <f>ROUND(VLOOKUP($E16,'[1]BDEW-Standard'!$B$3:$M$94,I$9,0),7)</f>
        <v>-35.253212400000002</v>
      </c>
      <c r="J16" s="355">
        <f>ROUND(VLOOKUP($E16,'[1]BDEW-Standard'!$B$3:$M$94,J$9,0),7)</f>
        <v>6.1544406</v>
      </c>
      <c r="K16" s="355">
        <f>ROUND(VLOOKUP($E16,'[1]BDEW-Standard'!$B$3:$M$94,K$9,0),7)</f>
        <v>0.32947409999999999</v>
      </c>
      <c r="L16" s="357">
        <v>40</v>
      </c>
      <c r="M16" s="355">
        <v>0</v>
      </c>
      <c r="N16" s="355">
        <v>0</v>
      </c>
      <c r="O16" s="355">
        <v>0</v>
      </c>
      <c r="P16" s="355">
        <v>0</v>
      </c>
      <c r="Q16" s="337">
        <f t="shared" si="1"/>
        <v>1.0436896084076008</v>
      </c>
      <c r="R16" s="273">
        <f>ROUND(VLOOKUP(MID($E16,4,3),'Wochentag F(WT)'!$B$7:$J$22,R$9,0),4)</f>
        <v>0.97670000000000001</v>
      </c>
      <c r="S16" s="273">
        <f>ROUND(VLOOKUP(MID($E16,4,3),'Wochentag F(WT)'!$B$7:$J$22,S$9,0),4)</f>
        <v>1.0388999999999999</v>
      </c>
      <c r="T16" s="273">
        <f>ROUND(VLOOKUP(MID($E16,4,3),'Wochentag F(WT)'!$B$7:$J$22,T$9,0),4)</f>
        <v>1.0027999999999999</v>
      </c>
      <c r="U16" s="273">
        <f>ROUND(VLOOKUP(MID($E16,4,3),'Wochentag F(WT)'!$B$7:$J$22,U$9,0),4)</f>
        <v>1.0162</v>
      </c>
      <c r="V16" s="273">
        <f>ROUND(VLOOKUP(MID($E16,4,3),'Wochentag F(WT)'!$B$7:$J$22,V$9,0),4)</f>
        <v>1.0024</v>
      </c>
      <c r="W16" s="273">
        <f>ROUND(VLOOKUP(MID($E16,4,3),'Wochentag F(WT)'!$B$7:$J$22,W$9,0),4)</f>
        <v>1.0043</v>
      </c>
      <c r="X16" s="274">
        <f t="shared" si="2"/>
        <v>0.95870000000000122</v>
      </c>
      <c r="Y16" s="291"/>
      <c r="Z16" s="210"/>
    </row>
    <row r="17" spans="2:26" s="143" customFormat="1">
      <c r="B17" s="144">
        <v>6</v>
      </c>
      <c r="C17" s="145" t="str">
        <f t="shared" si="0"/>
        <v>Uffenheim</v>
      </c>
      <c r="D17" s="62" t="s">
        <v>247</v>
      </c>
      <c r="E17" s="354" t="s">
        <v>670</v>
      </c>
      <c r="F17" s="356" t="str">
        <f>VLOOKUP($E17,'[1]BDEW-Standard'!$B$3:$M$94,F$9,0)</f>
        <v>KO3</v>
      </c>
      <c r="H17" s="355">
        <f>ROUND(VLOOKUP($E17,'[1]BDEW-Standard'!$B$3:$M$94,H$9,0),7)</f>
        <v>2.7172288</v>
      </c>
      <c r="I17" s="355">
        <f>ROUND(VLOOKUP($E17,'[1]BDEW-Standard'!$B$3:$M$94,I$9,0),7)</f>
        <v>-35.141256300000002</v>
      </c>
      <c r="J17" s="355">
        <f>ROUND(VLOOKUP($E17,'[1]BDEW-Standard'!$B$3:$M$94,J$9,0),7)</f>
        <v>7.1303394999999998</v>
      </c>
      <c r="K17" s="355">
        <f>ROUND(VLOOKUP($E17,'[1]BDEW-Standard'!$B$3:$M$94,K$9,0),7)</f>
        <v>0.14184720000000001</v>
      </c>
      <c r="L17" s="357">
        <v>40</v>
      </c>
      <c r="M17" s="355">
        <v>0</v>
      </c>
      <c r="N17" s="355">
        <v>0</v>
      </c>
      <c r="O17" s="355">
        <v>0</v>
      </c>
      <c r="P17" s="355">
        <v>0</v>
      </c>
      <c r="Q17" s="337">
        <f t="shared" si="1"/>
        <v>1.0630299199876638</v>
      </c>
      <c r="R17" s="273">
        <f>ROUND(VLOOKUP(MID($E17,4,3),'Wochentag F(WT)'!$B$7:$J$22,R$9,0),4)</f>
        <v>1.0354000000000001</v>
      </c>
      <c r="S17" s="273">
        <f>ROUND(VLOOKUP(MID($E17,4,3),'Wochentag F(WT)'!$B$7:$J$22,S$9,0),4)</f>
        <v>1.0523</v>
      </c>
      <c r="T17" s="273">
        <f>ROUND(VLOOKUP(MID($E17,4,3),'Wochentag F(WT)'!$B$7:$J$22,T$9,0),4)</f>
        <v>1.0448999999999999</v>
      </c>
      <c r="U17" s="273">
        <f>ROUND(VLOOKUP(MID($E17,4,3),'Wochentag F(WT)'!$B$7:$J$22,U$9,0),4)</f>
        <v>1.0494000000000001</v>
      </c>
      <c r="V17" s="273">
        <f>ROUND(VLOOKUP(MID($E17,4,3),'Wochentag F(WT)'!$B$7:$J$22,V$9,0),4)</f>
        <v>0.98850000000000005</v>
      </c>
      <c r="W17" s="273">
        <f>ROUND(VLOOKUP(MID($E17,4,3),'Wochentag F(WT)'!$B$7:$J$22,W$9,0),4)</f>
        <v>0.88600000000000001</v>
      </c>
      <c r="X17" s="274">
        <f t="shared" si="2"/>
        <v>0.94349999999999934</v>
      </c>
      <c r="Y17" s="291"/>
      <c r="Z17" s="210"/>
    </row>
    <row r="18" spans="2:26" s="143" customFormat="1">
      <c r="B18" s="144">
        <v>7</v>
      </c>
      <c r="C18" s="145" t="str">
        <f t="shared" si="0"/>
        <v>Uffenheim</v>
      </c>
      <c r="D18" s="62" t="s">
        <v>247</v>
      </c>
      <c r="E18" s="354" t="s">
        <v>671</v>
      </c>
      <c r="F18" s="356" t="str">
        <f>VLOOKUP($E18,'[1]BDEW-Standard'!$B$3:$M$94,F$9,0)</f>
        <v>GB3</v>
      </c>
      <c r="H18" s="355">
        <f>ROUND(VLOOKUP($E18,'[1]BDEW-Standard'!$B$3:$M$94,H$9,0),7)</f>
        <v>3.2572741999999999</v>
      </c>
      <c r="I18" s="355">
        <f>ROUND(VLOOKUP($E18,'[1]BDEW-Standard'!$B$3:$M$94,I$9,0),7)</f>
        <v>-37.5</v>
      </c>
      <c r="J18" s="355">
        <f>ROUND(VLOOKUP($E18,'[1]BDEW-Standard'!$B$3:$M$94,J$9,0),7)</f>
        <v>6.3462148000000003</v>
      </c>
      <c r="K18" s="355">
        <f>ROUND(VLOOKUP($E18,'[1]BDEW-Standard'!$B$3:$M$94,K$9,0),7)</f>
        <v>8.6622699999999997E-2</v>
      </c>
      <c r="L18" s="357">
        <v>40</v>
      </c>
      <c r="M18" s="355">
        <v>0</v>
      </c>
      <c r="N18" s="355">
        <v>0</v>
      </c>
      <c r="O18" s="355">
        <v>0</v>
      </c>
      <c r="P18" s="355">
        <v>0</v>
      </c>
      <c r="Q18" s="337">
        <f t="shared" si="1"/>
        <v>0.9584556323619029</v>
      </c>
      <c r="R18" s="273">
        <f>ROUND(VLOOKUP(MID($E18,4,3),'Wochentag F(WT)'!$B$7:$J$22,R$9,0),4)</f>
        <v>0.98970000000000002</v>
      </c>
      <c r="S18" s="273">
        <f>ROUND(VLOOKUP(MID($E18,4,3),'Wochentag F(WT)'!$B$7:$J$22,S$9,0),4)</f>
        <v>0.9627</v>
      </c>
      <c r="T18" s="273">
        <f>ROUND(VLOOKUP(MID($E18,4,3),'Wochentag F(WT)'!$B$7:$J$22,T$9,0),4)</f>
        <v>1.0507</v>
      </c>
      <c r="U18" s="273">
        <f>ROUND(VLOOKUP(MID($E18,4,3),'Wochentag F(WT)'!$B$7:$J$22,U$9,0),4)</f>
        <v>1.0551999999999999</v>
      </c>
      <c r="V18" s="273">
        <f>ROUND(VLOOKUP(MID($E18,4,3),'Wochentag F(WT)'!$B$7:$J$22,V$9,0),4)</f>
        <v>1.0297000000000001</v>
      </c>
      <c r="W18" s="273">
        <f>ROUND(VLOOKUP(MID($E18,4,3),'Wochentag F(WT)'!$B$7:$J$22,W$9,0),4)</f>
        <v>0.97670000000000001</v>
      </c>
      <c r="X18" s="274">
        <f t="shared" si="2"/>
        <v>0.9352999999999998</v>
      </c>
      <c r="Y18" s="291"/>
      <c r="Z18" s="210"/>
    </row>
    <row r="19" spans="2:26" s="143" customFormat="1">
      <c r="B19" s="144">
        <v>8</v>
      </c>
      <c r="C19" s="145" t="str">
        <f t="shared" si="0"/>
        <v>Uffenheim</v>
      </c>
      <c r="D19" s="62" t="s">
        <v>247</v>
      </c>
      <c r="E19" s="354" t="s">
        <v>672</v>
      </c>
      <c r="F19" s="356" t="str">
        <f>VLOOKUP($E19,'[1]BDEW-Standard'!$B$3:$M$94,F$9,0)</f>
        <v>GA3</v>
      </c>
      <c r="H19" s="355">
        <f>ROUND(VLOOKUP($E19,'[1]BDEW-Standard'!$B$3:$M$94,H$9,0),7)</f>
        <v>2.2850164999999998</v>
      </c>
      <c r="I19" s="355">
        <f>ROUND(VLOOKUP($E19,'[1]BDEW-Standard'!$B$3:$M$94,I$9,0),7)</f>
        <v>-36.287858399999998</v>
      </c>
      <c r="J19" s="355">
        <f>ROUND(VLOOKUP($E19,'[1]BDEW-Standard'!$B$3:$M$94,J$9,0),7)</f>
        <v>6.5885125999999996</v>
      </c>
      <c r="K19" s="355">
        <f>ROUND(VLOOKUP($E19,'[1]BDEW-Standard'!$B$3:$M$94,K$9,0),7)</f>
        <v>0.31505349999999999</v>
      </c>
      <c r="L19" s="357">
        <v>40</v>
      </c>
      <c r="M19" s="355">
        <v>0</v>
      </c>
      <c r="N19" s="355">
        <v>0</v>
      </c>
      <c r="O19" s="355">
        <v>0</v>
      </c>
      <c r="P19" s="355">
        <v>0</v>
      </c>
      <c r="Q19" s="337">
        <f t="shared" si="1"/>
        <v>1.0096183914256316</v>
      </c>
      <c r="R19" s="273">
        <f>ROUND(VLOOKUP(MID($E19,4,3),'Wochentag F(WT)'!$B$7:$J$22,R$9,0),4)</f>
        <v>0.93220000000000003</v>
      </c>
      <c r="S19" s="273">
        <f>ROUND(VLOOKUP(MID($E19,4,3),'Wochentag F(WT)'!$B$7:$J$22,S$9,0),4)</f>
        <v>0.98939999999999995</v>
      </c>
      <c r="T19" s="273">
        <f>ROUND(VLOOKUP(MID($E19,4,3),'Wochentag F(WT)'!$B$7:$J$22,T$9,0),4)</f>
        <v>1.0033000000000001</v>
      </c>
      <c r="U19" s="273">
        <f>ROUND(VLOOKUP(MID($E19,4,3),'Wochentag F(WT)'!$B$7:$J$22,U$9,0),4)</f>
        <v>1.0108999999999999</v>
      </c>
      <c r="V19" s="273">
        <f>ROUND(VLOOKUP(MID($E19,4,3),'Wochentag F(WT)'!$B$7:$J$22,V$9,0),4)</f>
        <v>1.018</v>
      </c>
      <c r="W19" s="273">
        <f>ROUND(VLOOKUP(MID($E19,4,3),'Wochentag F(WT)'!$B$7:$J$22,W$9,0),4)</f>
        <v>1.0356000000000001</v>
      </c>
      <c r="X19" s="274">
        <f t="shared" si="2"/>
        <v>1.0106000000000002</v>
      </c>
      <c r="Y19" s="291"/>
      <c r="Z19" s="210"/>
    </row>
    <row r="20" spans="2:26" s="143" customFormat="1">
      <c r="B20" s="144">
        <v>9</v>
      </c>
      <c r="C20" s="145" t="str">
        <f t="shared" si="0"/>
        <v>Uffenheim</v>
      </c>
      <c r="D20" s="62" t="s">
        <v>247</v>
      </c>
      <c r="E20" s="354" t="s">
        <v>673</v>
      </c>
      <c r="F20" s="356" t="str">
        <f>VLOOKUP($E20,'[1]BDEW-Standard'!$B$3:$M$94,F$9,0)</f>
        <v>HA3</v>
      </c>
      <c r="H20" s="355">
        <f>ROUND(VLOOKUP($E20,'[1]BDEW-Standard'!$B$3:$M$94,H$9,0),7)</f>
        <v>3.5811213999999998</v>
      </c>
      <c r="I20" s="355">
        <f>ROUND(VLOOKUP($E20,'[1]BDEW-Standard'!$B$3:$M$94,I$9,0),7)</f>
        <v>-36.965006500000001</v>
      </c>
      <c r="J20" s="355">
        <f>ROUND(VLOOKUP($E20,'[1]BDEW-Standard'!$B$3:$M$94,J$9,0),7)</f>
        <v>7.2256947</v>
      </c>
      <c r="K20" s="355">
        <f>ROUND(VLOOKUP($E20,'[1]BDEW-Standard'!$B$3:$M$94,K$9,0),7)</f>
        <v>4.4841600000000002E-2</v>
      </c>
      <c r="L20" s="357">
        <v>40</v>
      </c>
      <c r="M20" s="355">
        <v>0</v>
      </c>
      <c r="N20" s="355">
        <v>0</v>
      </c>
      <c r="O20" s="355">
        <v>0</v>
      </c>
      <c r="P20" s="355">
        <v>0</v>
      </c>
      <c r="Q20" s="337">
        <f t="shared" si="1"/>
        <v>0.97852945357176691</v>
      </c>
      <c r="R20" s="273">
        <f>ROUND(VLOOKUP(MID($E20,4,3),'Wochentag F(WT)'!$B$7:$J$22,R$9,0),4)</f>
        <v>1.0358000000000001</v>
      </c>
      <c r="S20" s="273">
        <f>ROUND(VLOOKUP(MID($E20,4,3),'Wochentag F(WT)'!$B$7:$J$22,S$9,0),4)</f>
        <v>1.0232000000000001</v>
      </c>
      <c r="T20" s="273">
        <f>ROUND(VLOOKUP(MID($E20,4,3),'Wochentag F(WT)'!$B$7:$J$22,T$9,0),4)</f>
        <v>1.0251999999999999</v>
      </c>
      <c r="U20" s="273">
        <f>ROUND(VLOOKUP(MID($E20,4,3),'Wochentag F(WT)'!$B$7:$J$22,U$9,0),4)</f>
        <v>1.0295000000000001</v>
      </c>
      <c r="V20" s="273">
        <f>ROUND(VLOOKUP(MID($E20,4,3),'Wochentag F(WT)'!$B$7:$J$22,V$9,0),4)</f>
        <v>1.0253000000000001</v>
      </c>
      <c r="W20" s="273">
        <f>ROUND(VLOOKUP(MID($E20,4,3),'Wochentag F(WT)'!$B$7:$J$22,W$9,0),4)</f>
        <v>0.96750000000000003</v>
      </c>
      <c r="X20" s="274">
        <f t="shared" si="2"/>
        <v>0.89350000000000041</v>
      </c>
      <c r="Y20" s="291"/>
      <c r="Z20" s="210"/>
    </row>
    <row r="21" spans="2:26" s="143" customFormat="1">
      <c r="B21" s="144">
        <v>10</v>
      </c>
      <c r="C21" s="145" t="str">
        <f t="shared" si="0"/>
        <v>Uffenheim</v>
      </c>
      <c r="D21" s="62" t="s">
        <v>247</v>
      </c>
      <c r="E21" s="354" t="s">
        <v>674</v>
      </c>
      <c r="F21" s="356" t="str">
        <f>VLOOKUP($E21,'[1]BDEW-Standard'!$B$3:$M$94,F$9,0)</f>
        <v>MF3</v>
      </c>
      <c r="H21" s="355">
        <f>ROUND(VLOOKUP($E21,'[1]BDEW-Standard'!$B$3:$M$94,H$9,0),7)</f>
        <v>2.3877617999999998</v>
      </c>
      <c r="I21" s="355">
        <f>ROUND(VLOOKUP($E21,'[1]BDEW-Standard'!$B$3:$M$94,I$9,0),7)</f>
        <v>-34.721360500000003</v>
      </c>
      <c r="J21" s="355">
        <f>ROUND(VLOOKUP($E21,'[1]BDEW-Standard'!$B$3:$M$94,J$9,0),7)</f>
        <v>5.8164303999999998</v>
      </c>
      <c r="K21" s="355">
        <f>ROUND(VLOOKUP($E21,'[1]BDEW-Standard'!$B$3:$M$94,K$9,0),7)</f>
        <v>0.12081939999999999</v>
      </c>
      <c r="L21" s="357">
        <v>40</v>
      </c>
      <c r="M21" s="355">
        <v>0</v>
      </c>
      <c r="N21" s="355">
        <v>0</v>
      </c>
      <c r="O21" s="355">
        <v>0</v>
      </c>
      <c r="P21" s="355">
        <v>0</v>
      </c>
      <c r="Q21" s="337">
        <f t="shared" si="1"/>
        <v>1.0365184142102302</v>
      </c>
      <c r="R21" s="273">
        <f>ROUND(VLOOKUP(MID($E21,4,3),'Wochentag F(WT)'!$B$7:$J$22,R$9,0),4)</f>
        <v>1.0354000000000001</v>
      </c>
      <c r="S21" s="273">
        <f>ROUND(VLOOKUP(MID($E21,4,3),'Wochentag F(WT)'!$B$7:$J$22,S$9,0),4)</f>
        <v>1.0523</v>
      </c>
      <c r="T21" s="273">
        <f>ROUND(VLOOKUP(MID($E21,4,3),'Wochentag F(WT)'!$B$7:$J$22,T$9,0),4)</f>
        <v>1.0448999999999999</v>
      </c>
      <c r="U21" s="273">
        <f>ROUND(VLOOKUP(MID($E21,4,3),'Wochentag F(WT)'!$B$7:$J$22,U$9,0),4)</f>
        <v>1.0494000000000001</v>
      </c>
      <c r="V21" s="273">
        <f>ROUND(VLOOKUP(MID($E21,4,3),'Wochentag F(WT)'!$B$7:$J$22,V$9,0),4)</f>
        <v>0.98850000000000005</v>
      </c>
      <c r="W21" s="273">
        <f>ROUND(VLOOKUP(MID($E21,4,3),'Wochentag F(WT)'!$B$7:$J$22,W$9,0),4)</f>
        <v>0.88600000000000001</v>
      </c>
      <c r="X21" s="274">
        <f t="shared" si="2"/>
        <v>0.94349999999999934</v>
      </c>
      <c r="Y21" s="291"/>
      <c r="Z21" s="210"/>
    </row>
    <row r="22" spans="2:26" s="143" customFormat="1">
      <c r="B22" s="144">
        <v>11</v>
      </c>
      <c r="C22" s="145" t="str">
        <f t="shared" si="0"/>
        <v>Uffenheim</v>
      </c>
      <c r="D22" s="62" t="s">
        <v>247</v>
      </c>
      <c r="E22" s="354" t="s">
        <v>675</v>
      </c>
      <c r="F22" s="356" t="str">
        <f>VLOOKUP($E22,'[1]BDEW-Standard'!$B$3:$M$94,F$9,0)</f>
        <v>MK3</v>
      </c>
      <c r="H22" s="355">
        <f>ROUND(VLOOKUP($E22,'[1]BDEW-Standard'!$B$3:$M$94,H$9,0),7)</f>
        <v>2.7882424000000001</v>
      </c>
      <c r="I22" s="355">
        <f>ROUND(VLOOKUP($E22,'[1]BDEW-Standard'!$B$3:$M$94,I$9,0),7)</f>
        <v>-34.880612999999997</v>
      </c>
      <c r="J22" s="355">
        <f>ROUND(VLOOKUP($E22,'[1]BDEW-Standard'!$B$3:$M$94,J$9,0),7)</f>
        <v>6.5951899000000003</v>
      </c>
      <c r="K22" s="355">
        <f>ROUND(VLOOKUP($E22,'[1]BDEW-Standard'!$B$3:$M$94,K$9,0),7)</f>
        <v>5.4032900000000002E-2</v>
      </c>
      <c r="L22" s="357">
        <v>40</v>
      </c>
      <c r="M22" s="355">
        <v>0</v>
      </c>
      <c r="N22" s="355">
        <v>0</v>
      </c>
      <c r="O22" s="355">
        <v>0</v>
      </c>
      <c r="P22" s="355">
        <v>0</v>
      </c>
      <c r="Q22" s="337">
        <f t="shared" si="1"/>
        <v>1.0622306107520199</v>
      </c>
      <c r="R22" s="273">
        <f>ROUND(VLOOKUP(MID($E22,4,3),'Wochentag F(WT)'!$B$7:$J$22,R$9,0),4)</f>
        <v>1.0699000000000001</v>
      </c>
      <c r="S22" s="273">
        <f>ROUND(VLOOKUP(MID($E22,4,3),'Wochentag F(WT)'!$B$7:$J$22,S$9,0),4)</f>
        <v>1.0365</v>
      </c>
      <c r="T22" s="273">
        <f>ROUND(VLOOKUP(MID($E22,4,3),'Wochentag F(WT)'!$B$7:$J$22,T$9,0),4)</f>
        <v>0.99329999999999996</v>
      </c>
      <c r="U22" s="273">
        <f>ROUND(VLOOKUP(MID($E22,4,3),'Wochentag F(WT)'!$B$7:$J$22,U$9,0),4)</f>
        <v>0.99480000000000002</v>
      </c>
      <c r="V22" s="273">
        <f>ROUND(VLOOKUP(MID($E22,4,3),'Wochentag F(WT)'!$B$7:$J$22,V$9,0),4)</f>
        <v>1.0659000000000001</v>
      </c>
      <c r="W22" s="273">
        <f>ROUND(VLOOKUP(MID($E22,4,3),'Wochentag F(WT)'!$B$7:$J$22,W$9,0),4)</f>
        <v>0.93620000000000003</v>
      </c>
      <c r="X22" s="274">
        <f t="shared" si="2"/>
        <v>0.90339999999999954</v>
      </c>
      <c r="Y22" s="291"/>
      <c r="Z22" s="210"/>
    </row>
    <row r="23" spans="2:26" s="143" customFormat="1">
      <c r="B23" s="144">
        <v>12</v>
      </c>
      <c r="C23" s="145" t="str">
        <f t="shared" si="0"/>
        <v>Uffenheim</v>
      </c>
      <c r="D23" s="62" t="s">
        <v>247</v>
      </c>
      <c r="E23" s="354" t="s">
        <v>676</v>
      </c>
      <c r="F23" s="356" t="str">
        <f>VLOOKUP($E23,'[1]BDEW-Standard'!$B$3:$M$94,F$9,0)</f>
        <v>PD3</v>
      </c>
      <c r="H23" s="355">
        <f>ROUND(VLOOKUP($E23,'[1]BDEW-Standard'!$B$3:$M$94,H$9,0),7)</f>
        <v>3.2</v>
      </c>
      <c r="I23" s="355">
        <f>ROUND(VLOOKUP($E23,'[1]BDEW-Standard'!$B$3:$M$94,I$9,0),7)</f>
        <v>-35.799999999999997</v>
      </c>
      <c r="J23" s="355">
        <f>ROUND(VLOOKUP($E23,'[1]BDEW-Standard'!$B$3:$M$94,J$9,0),7)</f>
        <v>8.4</v>
      </c>
      <c r="K23" s="355">
        <f>ROUND(VLOOKUP($E23,'[1]BDEW-Standard'!$B$3:$M$94,K$9,0),7)</f>
        <v>9.3848600000000004E-2</v>
      </c>
      <c r="L23" s="357">
        <v>40</v>
      </c>
      <c r="M23" s="355">
        <v>0</v>
      </c>
      <c r="N23" s="355">
        <v>0</v>
      </c>
      <c r="O23" s="355">
        <v>0</v>
      </c>
      <c r="P23" s="355">
        <v>0</v>
      </c>
      <c r="Q23" s="337">
        <f t="shared" si="1"/>
        <v>0.99106250024889242</v>
      </c>
      <c r="R23" s="273">
        <f>ROUND(VLOOKUP(MID($E23,4,3),'Wochentag F(WT)'!$B$7:$J$22,R$9,0),4)</f>
        <v>1.0214000000000001</v>
      </c>
      <c r="S23" s="273">
        <f>ROUND(VLOOKUP(MID($E23,4,3),'Wochentag F(WT)'!$B$7:$J$22,S$9,0),4)</f>
        <v>1.0866</v>
      </c>
      <c r="T23" s="273">
        <f>ROUND(VLOOKUP(MID($E23,4,3),'Wochentag F(WT)'!$B$7:$J$22,T$9,0),4)</f>
        <v>1.0720000000000001</v>
      </c>
      <c r="U23" s="273">
        <f>ROUND(VLOOKUP(MID($E23,4,3),'Wochentag F(WT)'!$B$7:$J$22,U$9,0),4)</f>
        <v>1.0557000000000001</v>
      </c>
      <c r="V23" s="273">
        <f>ROUND(VLOOKUP(MID($E23,4,3),'Wochentag F(WT)'!$B$7:$J$22,V$9,0),4)</f>
        <v>1.0117</v>
      </c>
      <c r="W23" s="273">
        <f>ROUND(VLOOKUP(MID($E23,4,3),'Wochentag F(WT)'!$B$7:$J$22,W$9,0),4)</f>
        <v>0.90010000000000001</v>
      </c>
      <c r="X23" s="274">
        <f t="shared" si="2"/>
        <v>0.85249999999999915</v>
      </c>
      <c r="Y23" s="291"/>
      <c r="Z23" s="210"/>
    </row>
    <row r="24" spans="2:26" s="143" customFormat="1">
      <c r="B24" s="144">
        <v>13</v>
      </c>
      <c r="C24" s="145" t="str">
        <f t="shared" si="0"/>
        <v>Uffenheim</v>
      </c>
      <c r="D24" s="62" t="s">
        <v>247</v>
      </c>
      <c r="E24" s="354" t="s">
        <v>677</v>
      </c>
      <c r="F24" s="356" t="str">
        <f>VLOOKUP($E24,'[1]BDEW-Standard'!$B$3:$M$94,F$9,0)</f>
        <v>BD3</v>
      </c>
      <c r="H24" s="355">
        <f>ROUND(VLOOKUP($E24,'[1]BDEW-Standard'!$B$3:$M$94,H$9,0),7)</f>
        <v>2.9177027</v>
      </c>
      <c r="I24" s="355">
        <f>ROUND(VLOOKUP($E24,'[1]BDEW-Standard'!$B$3:$M$94,I$9,0),7)</f>
        <v>-36.179411700000003</v>
      </c>
      <c r="J24" s="355">
        <f>ROUND(VLOOKUP($E24,'[1]BDEW-Standard'!$B$3:$M$94,J$9,0),7)</f>
        <v>5.9265162</v>
      </c>
      <c r="K24" s="355">
        <f>ROUND(VLOOKUP($E24,'[1]BDEW-Standard'!$B$3:$M$94,K$9,0),7)</f>
        <v>0.11519119999999999</v>
      </c>
      <c r="L24" s="357">
        <v>40</v>
      </c>
      <c r="M24" s="355">
        <v>0</v>
      </c>
      <c r="N24" s="355">
        <v>0</v>
      </c>
      <c r="O24" s="355">
        <v>0</v>
      </c>
      <c r="P24" s="355">
        <v>0</v>
      </c>
      <c r="Q24" s="337">
        <f t="shared" si="1"/>
        <v>1.0656106174494469</v>
      </c>
      <c r="R24" s="273">
        <f>ROUND(VLOOKUP(MID($E24,4,3),'Wochentag F(WT)'!$B$7:$J$22,R$9,0),4)</f>
        <v>1.1052</v>
      </c>
      <c r="S24" s="273">
        <f>ROUND(VLOOKUP(MID($E24,4,3),'Wochentag F(WT)'!$B$7:$J$22,S$9,0),4)</f>
        <v>1.0857000000000001</v>
      </c>
      <c r="T24" s="273">
        <f>ROUND(VLOOKUP(MID($E24,4,3),'Wochentag F(WT)'!$B$7:$J$22,T$9,0),4)</f>
        <v>1.0378000000000001</v>
      </c>
      <c r="U24" s="273">
        <f>ROUND(VLOOKUP(MID($E24,4,3),'Wochentag F(WT)'!$B$7:$J$22,U$9,0),4)</f>
        <v>1.0622</v>
      </c>
      <c r="V24" s="273">
        <f>ROUND(VLOOKUP(MID($E24,4,3),'Wochentag F(WT)'!$B$7:$J$22,V$9,0),4)</f>
        <v>1.0266</v>
      </c>
      <c r="W24" s="273">
        <f>ROUND(VLOOKUP(MID($E24,4,3),'Wochentag F(WT)'!$B$7:$J$22,W$9,0),4)</f>
        <v>0.76290000000000002</v>
      </c>
      <c r="X24" s="274">
        <f t="shared" si="2"/>
        <v>0.91959999999999997</v>
      </c>
      <c r="Y24" s="291"/>
      <c r="Z24" s="210"/>
    </row>
    <row r="25" spans="2:26" s="143" customFormat="1">
      <c r="B25" s="144">
        <v>14</v>
      </c>
      <c r="C25" s="145" t="str">
        <f t="shared" si="0"/>
        <v>Uffenheim</v>
      </c>
      <c r="D25" s="62" t="s">
        <v>247</v>
      </c>
      <c r="E25" s="354" t="s">
        <v>678</v>
      </c>
      <c r="F25" s="356" t="str">
        <f>VLOOKUP($E25,'[1]BDEW-Standard'!$B$3:$M$94,F$9,0)</f>
        <v>WA3</v>
      </c>
      <c r="H25" s="355">
        <f>ROUND(VLOOKUP($E25,'[1]BDEW-Standard'!$B$3:$M$94,H$9,0),7)</f>
        <v>0.76572899999999999</v>
      </c>
      <c r="I25" s="355">
        <f>ROUND(VLOOKUP($E25,'[1]BDEW-Standard'!$B$3:$M$94,I$9,0),7)</f>
        <v>-36.023791199999998</v>
      </c>
      <c r="J25" s="355">
        <f>ROUND(VLOOKUP($E25,'[1]BDEW-Standard'!$B$3:$M$94,J$9,0),7)</f>
        <v>4.8662747</v>
      </c>
      <c r="K25" s="355">
        <f>ROUND(VLOOKUP($E25,'[1]BDEW-Standard'!$B$3:$M$94,K$9,0),7)</f>
        <v>0.80494250000000001</v>
      </c>
      <c r="L25" s="357">
        <v>40</v>
      </c>
      <c r="M25" s="355">
        <f>ROUND(VLOOKUP($E25,'[1]BDEW-Standard'!$B$3:$M$94,M$9,0),7)</f>
        <v>0</v>
      </c>
      <c r="N25" s="355">
        <f>ROUND(VLOOKUP($E25,'[1]BDEW-Standard'!$B$3:$M$94,N$9,0),7)</f>
        <v>0</v>
      </c>
      <c r="O25" s="355">
        <f>ROUND(VLOOKUP($E25,'[1]BDEW-Standard'!$B$3:$M$94,O$9,0),7)</f>
        <v>0</v>
      </c>
      <c r="P25" s="355">
        <v>0</v>
      </c>
      <c r="Q25" s="337">
        <f t="shared" si="1"/>
        <v>1.0804258319686442</v>
      </c>
      <c r="R25" s="273">
        <f>ROUND(VLOOKUP(MID($E25,4,3),'Wochentag F(WT)'!$B$7:$J$22,R$9,0),4)</f>
        <v>1.2457</v>
      </c>
      <c r="S25" s="273">
        <f>ROUND(VLOOKUP(MID($E25,4,3),'Wochentag F(WT)'!$B$7:$J$22,S$9,0),4)</f>
        <v>1.2615000000000001</v>
      </c>
      <c r="T25" s="273">
        <f>ROUND(VLOOKUP(MID($E25,4,3),'Wochentag F(WT)'!$B$7:$J$22,T$9,0),4)</f>
        <v>1.2706999999999999</v>
      </c>
      <c r="U25" s="273">
        <f>ROUND(VLOOKUP(MID($E25,4,3),'Wochentag F(WT)'!$B$7:$J$22,U$9,0),4)</f>
        <v>1.2430000000000001</v>
      </c>
      <c r="V25" s="273">
        <f>ROUND(VLOOKUP(MID($E25,4,3),'Wochentag F(WT)'!$B$7:$J$22,V$9,0),4)</f>
        <v>1.1275999999999999</v>
      </c>
      <c r="W25" s="273">
        <f>ROUND(VLOOKUP(MID($E25,4,3),'Wochentag F(WT)'!$B$7:$J$22,W$9,0),4)</f>
        <v>0.38769999999999999</v>
      </c>
      <c r="X25" s="274">
        <f t="shared" si="2"/>
        <v>0.46379999999999999</v>
      </c>
      <c r="Y25" s="291"/>
      <c r="Z25" s="210"/>
    </row>
    <row r="26" spans="2:26" s="143" customFormat="1">
      <c r="B26" s="144">
        <v>15</v>
      </c>
      <c r="C26" s="145" t="str">
        <f t="shared" si="0"/>
        <v>Uffenheim</v>
      </c>
      <c r="D26" s="62" t="s">
        <v>247</v>
      </c>
      <c r="E26" s="354" t="s">
        <v>679</v>
      </c>
      <c r="F26" s="356" t="str">
        <f>VLOOKUP($E26,'[1]BDEW-Standard'!$B$3:$M$94,F$9,0)</f>
        <v>HD3</v>
      </c>
      <c r="H26" s="355">
        <f>ROUND(VLOOKUP($E26,'[1]BDEW-Standard'!$B$3:$M$94,H$9,0),7)</f>
        <v>2.5792510000000002</v>
      </c>
      <c r="I26" s="355">
        <f>ROUND(VLOOKUP($E26,'[1]BDEW-Standard'!$B$3:$M$94,I$9,0),7)</f>
        <v>-35.681614400000001</v>
      </c>
      <c r="J26" s="355">
        <f>ROUND(VLOOKUP($E26,'[1]BDEW-Standard'!$B$3:$M$94,J$9,0),7)</f>
        <v>6.6857975999999999</v>
      </c>
      <c r="K26" s="355">
        <f>ROUND(VLOOKUP($E26,'[1]BDEW-Standard'!$B$3:$M$94,K$9,0),7)</f>
        <v>0.19955410000000001</v>
      </c>
      <c r="L26" s="357">
        <v>40</v>
      </c>
      <c r="M26" s="355">
        <f>ROUND(VLOOKUP($E26,'[1]BDEW-Standard'!$B$3:$M$94,M$9,0),7)</f>
        <v>0</v>
      </c>
      <c r="N26" s="355">
        <f>ROUND(VLOOKUP($E26,'[1]BDEW-Standard'!$B$3:$M$94,N$9,0),7)</f>
        <v>0</v>
      </c>
      <c r="O26" s="355">
        <f>ROUND(VLOOKUP($E26,'[1]BDEW-Standard'!$B$3:$M$94,O$9,0),7)</f>
        <v>0</v>
      </c>
      <c r="P26" s="355">
        <f>ROUND(VLOOKUP($E26,'[1]BDEW-Standard'!$B$3:$M$94,P$9,0),7)</f>
        <v>0</v>
      </c>
      <c r="Q26" s="337">
        <f t="shared" si="1"/>
        <v>1.0393994293439688</v>
      </c>
      <c r="R26" s="273">
        <f>ROUND(VLOOKUP(MID($E26,4,3),'Wochentag F(WT)'!$B$7:$J$22,R$9,0),4)</f>
        <v>1.03</v>
      </c>
      <c r="S26" s="273">
        <f>ROUND(VLOOKUP(MID($E26,4,3),'Wochentag F(WT)'!$B$7:$J$22,S$9,0),4)</f>
        <v>1.03</v>
      </c>
      <c r="T26" s="273">
        <f>ROUND(VLOOKUP(MID($E26,4,3),'Wochentag F(WT)'!$B$7:$J$22,T$9,0),4)</f>
        <v>1.02</v>
      </c>
      <c r="U26" s="273">
        <f>ROUND(VLOOKUP(MID($E26,4,3),'Wochentag F(WT)'!$B$7:$J$22,U$9,0),4)</f>
        <v>1.03</v>
      </c>
      <c r="V26" s="273">
        <f>ROUND(VLOOKUP(MID($E26,4,3),'Wochentag F(WT)'!$B$7:$J$22,V$9,0),4)</f>
        <v>1.01</v>
      </c>
      <c r="W26" s="273">
        <f>ROUND(VLOOKUP(MID($E26,4,3),'Wochentag F(WT)'!$B$7:$J$22,W$9,0),4)</f>
        <v>0.93</v>
      </c>
      <c r="X26" s="274">
        <f t="shared" si="2"/>
        <v>0.95000000000000018</v>
      </c>
      <c r="Y26" s="291"/>
      <c r="Z26" s="210"/>
    </row>
    <row r="27" spans="2:26" s="143" customFormat="1">
      <c r="B27" s="144">
        <v>16</v>
      </c>
      <c r="C27" s="145" t="str">
        <f t="shared" si="0"/>
        <v>Uffenheim</v>
      </c>
      <c r="D27" s="62"/>
      <c r="E27" s="165"/>
      <c r="F27" s="295"/>
      <c r="H27" s="275"/>
      <c r="I27" s="275"/>
      <c r="J27" s="275"/>
      <c r="K27" s="275"/>
      <c r="L27" s="336"/>
      <c r="M27" s="275"/>
      <c r="N27" s="275"/>
      <c r="O27" s="275"/>
      <c r="P27" s="275"/>
      <c r="Q27" s="338"/>
      <c r="R27" s="276"/>
      <c r="S27" s="276"/>
      <c r="T27" s="276"/>
      <c r="U27" s="276"/>
      <c r="V27" s="276"/>
      <c r="W27" s="276"/>
      <c r="X27" s="277"/>
      <c r="Y27" s="291"/>
    </row>
    <row r="28" spans="2:26" s="143" customFormat="1">
      <c r="B28" s="144">
        <v>17</v>
      </c>
      <c r="C28" s="145" t="str">
        <f t="shared" si="0"/>
        <v>Uffenheim</v>
      </c>
      <c r="D28" s="62"/>
      <c r="E28" s="165"/>
      <c r="F28" s="295"/>
      <c r="H28" s="275"/>
      <c r="I28" s="275"/>
      <c r="J28" s="275"/>
      <c r="K28" s="275"/>
      <c r="L28" s="336"/>
      <c r="M28" s="275"/>
      <c r="N28" s="275"/>
      <c r="O28" s="275"/>
      <c r="P28" s="275"/>
      <c r="Q28" s="338"/>
      <c r="R28" s="276"/>
      <c r="S28" s="276"/>
      <c r="T28" s="276"/>
      <c r="U28" s="276"/>
      <c r="V28" s="276"/>
      <c r="W28" s="276"/>
      <c r="X28" s="277"/>
      <c r="Y28" s="291"/>
    </row>
    <row r="29" spans="2:26" s="143" customFormat="1">
      <c r="B29" s="144">
        <v>18</v>
      </c>
      <c r="C29" s="145" t="str">
        <f t="shared" si="0"/>
        <v>Uffenheim</v>
      </c>
      <c r="D29" s="62"/>
      <c r="E29" s="165"/>
      <c r="F29" s="295"/>
      <c r="H29" s="275"/>
      <c r="I29" s="275"/>
      <c r="J29" s="275"/>
      <c r="K29" s="275"/>
      <c r="L29" s="336"/>
      <c r="M29" s="275"/>
      <c r="N29" s="275"/>
      <c r="O29" s="275"/>
      <c r="P29" s="275"/>
      <c r="Q29" s="338"/>
      <c r="R29" s="276"/>
      <c r="S29" s="276"/>
      <c r="T29" s="276"/>
      <c r="U29" s="276"/>
      <c r="V29" s="276"/>
      <c r="W29" s="276"/>
      <c r="X29" s="277"/>
      <c r="Y29" s="291"/>
    </row>
    <row r="30" spans="2:26" s="143" customFormat="1">
      <c r="B30" s="144">
        <v>19</v>
      </c>
      <c r="C30" s="145" t="str">
        <f t="shared" si="0"/>
        <v>Uffenheim</v>
      </c>
      <c r="D30" s="62"/>
      <c r="E30" s="165"/>
      <c r="F30" s="295"/>
      <c r="H30" s="275"/>
      <c r="I30" s="275"/>
      <c r="J30" s="275"/>
      <c r="K30" s="275"/>
      <c r="L30" s="336"/>
      <c r="M30" s="275"/>
      <c r="N30" s="275"/>
      <c r="O30" s="275"/>
      <c r="P30" s="275"/>
      <c r="Q30" s="338"/>
      <c r="R30" s="276"/>
      <c r="S30" s="276"/>
      <c r="T30" s="276"/>
      <c r="U30" s="276"/>
      <c r="V30" s="276"/>
      <c r="W30" s="276"/>
      <c r="X30" s="277"/>
      <c r="Y30" s="291"/>
    </row>
    <row r="31" spans="2:26" s="143" customFormat="1">
      <c r="B31" s="144">
        <v>20</v>
      </c>
      <c r="C31" s="145" t="str">
        <f t="shared" si="0"/>
        <v>Uffenheim</v>
      </c>
      <c r="D31" s="62"/>
      <c r="E31" s="165"/>
      <c r="F31" s="295"/>
      <c r="H31" s="275"/>
      <c r="I31" s="275"/>
      <c r="J31" s="275"/>
      <c r="K31" s="275"/>
      <c r="L31" s="336"/>
      <c r="M31" s="275"/>
      <c r="N31" s="275"/>
      <c r="O31" s="275"/>
      <c r="P31" s="275"/>
      <c r="Q31" s="338"/>
      <c r="R31" s="276"/>
      <c r="S31" s="276"/>
      <c r="T31" s="276"/>
      <c r="U31" s="276"/>
      <c r="V31" s="276"/>
      <c r="W31" s="276"/>
      <c r="X31" s="277"/>
      <c r="Y31" s="291"/>
    </row>
    <row r="32" spans="2:26" s="143" customFormat="1">
      <c r="B32" s="144">
        <v>21</v>
      </c>
      <c r="C32" s="145" t="str">
        <f t="shared" si="0"/>
        <v>Uffenheim</v>
      </c>
      <c r="D32" s="62"/>
      <c r="E32" s="165"/>
      <c r="F32" s="295"/>
      <c r="H32" s="275"/>
      <c r="I32" s="275"/>
      <c r="J32" s="275"/>
      <c r="K32" s="275"/>
      <c r="L32" s="336"/>
      <c r="M32" s="275"/>
      <c r="N32" s="275"/>
      <c r="O32" s="275"/>
      <c r="P32" s="275"/>
      <c r="Q32" s="338"/>
      <c r="R32" s="276"/>
      <c r="S32" s="276"/>
      <c r="T32" s="276"/>
      <c r="U32" s="276"/>
      <c r="V32" s="276"/>
      <c r="W32" s="276"/>
      <c r="X32" s="277"/>
      <c r="Y32" s="291"/>
    </row>
    <row r="33" spans="2:25" s="143" customFormat="1">
      <c r="B33" s="144">
        <v>22</v>
      </c>
      <c r="C33" s="145" t="str">
        <f t="shared" si="0"/>
        <v>Uffenheim</v>
      </c>
      <c r="D33" s="62"/>
      <c r="E33" s="165"/>
      <c r="F33" s="295"/>
      <c r="H33" s="275"/>
      <c r="I33" s="275"/>
      <c r="J33" s="275"/>
      <c r="K33" s="275"/>
      <c r="L33" s="336"/>
      <c r="M33" s="275"/>
      <c r="N33" s="275"/>
      <c r="O33" s="275"/>
      <c r="P33" s="275"/>
      <c r="Q33" s="338"/>
      <c r="R33" s="276"/>
      <c r="S33" s="276"/>
      <c r="T33" s="276"/>
      <c r="U33" s="276"/>
      <c r="V33" s="276"/>
      <c r="W33" s="276"/>
      <c r="X33" s="277"/>
      <c r="Y33" s="291"/>
    </row>
    <row r="34" spans="2:25" s="143" customFormat="1">
      <c r="B34" s="144">
        <v>23</v>
      </c>
      <c r="C34" s="145" t="str">
        <f t="shared" si="0"/>
        <v>Uffenheim</v>
      </c>
      <c r="D34" s="62"/>
      <c r="E34" s="165"/>
      <c r="F34" s="295"/>
      <c r="H34" s="275"/>
      <c r="I34" s="275"/>
      <c r="J34" s="275"/>
      <c r="K34" s="275"/>
      <c r="L34" s="336"/>
      <c r="M34" s="275"/>
      <c r="N34" s="275"/>
      <c r="O34" s="275"/>
      <c r="P34" s="275"/>
      <c r="Q34" s="338"/>
      <c r="R34" s="276"/>
      <c r="S34" s="276"/>
      <c r="T34" s="276"/>
      <c r="U34" s="276"/>
      <c r="V34" s="276"/>
      <c r="W34" s="276"/>
      <c r="X34" s="277"/>
      <c r="Y34" s="291"/>
    </row>
    <row r="35" spans="2:25" s="143" customFormat="1">
      <c r="B35" s="144">
        <v>24</v>
      </c>
      <c r="C35" s="145" t="str">
        <f t="shared" si="0"/>
        <v>Uffenheim</v>
      </c>
      <c r="D35" s="62"/>
      <c r="E35" s="165"/>
      <c r="F35" s="295"/>
      <c r="H35" s="275"/>
      <c r="I35" s="275"/>
      <c r="J35" s="275"/>
      <c r="K35" s="275"/>
      <c r="L35" s="336"/>
      <c r="M35" s="275"/>
      <c r="N35" s="275"/>
      <c r="O35" s="275"/>
      <c r="P35" s="275"/>
      <c r="Q35" s="338"/>
      <c r="R35" s="276"/>
      <c r="S35" s="276"/>
      <c r="T35" s="276"/>
      <c r="U35" s="276"/>
      <c r="V35" s="276"/>
      <c r="W35" s="276"/>
      <c r="X35" s="277"/>
      <c r="Y35" s="291"/>
    </row>
    <row r="36" spans="2:25" s="143" customFormat="1">
      <c r="B36" s="144">
        <v>25</v>
      </c>
      <c r="C36" s="145" t="str">
        <f t="shared" si="0"/>
        <v>Uffenheim</v>
      </c>
      <c r="D36" s="62"/>
      <c r="E36" s="165"/>
      <c r="F36" s="295"/>
      <c r="H36" s="275"/>
      <c r="I36" s="275"/>
      <c r="J36" s="275"/>
      <c r="K36" s="275"/>
      <c r="L36" s="336"/>
      <c r="M36" s="275"/>
      <c r="N36" s="275"/>
      <c r="O36" s="275"/>
      <c r="P36" s="275"/>
      <c r="Q36" s="338"/>
      <c r="R36" s="276"/>
      <c r="S36" s="276"/>
      <c r="T36" s="276"/>
      <c r="U36" s="276"/>
      <c r="V36" s="276"/>
      <c r="W36" s="276"/>
      <c r="X36" s="277"/>
      <c r="Y36" s="291"/>
    </row>
    <row r="37" spans="2:25" s="143" customFormat="1">
      <c r="B37" s="144">
        <v>26</v>
      </c>
      <c r="C37" s="145" t="str">
        <f t="shared" si="0"/>
        <v>Uffenheim</v>
      </c>
      <c r="D37" s="62"/>
      <c r="E37" s="165"/>
      <c r="F37" s="295"/>
      <c r="H37" s="275"/>
      <c r="I37" s="275"/>
      <c r="J37" s="275"/>
      <c r="K37" s="275"/>
      <c r="L37" s="336"/>
      <c r="M37" s="275"/>
      <c r="N37" s="275"/>
      <c r="O37" s="275"/>
      <c r="P37" s="275"/>
      <c r="Q37" s="338"/>
      <c r="R37" s="276"/>
      <c r="S37" s="276"/>
      <c r="T37" s="276"/>
      <c r="U37" s="276"/>
      <c r="V37" s="276"/>
      <c r="W37" s="276"/>
      <c r="X37" s="277"/>
      <c r="Y37" s="291"/>
    </row>
    <row r="38" spans="2:25" s="143" customFormat="1">
      <c r="B38" s="144">
        <v>27</v>
      </c>
      <c r="C38" s="145" t="str">
        <f t="shared" si="0"/>
        <v>Uffenheim</v>
      </c>
      <c r="D38" s="62"/>
      <c r="E38" s="165"/>
      <c r="F38" s="295"/>
      <c r="H38" s="275"/>
      <c r="I38" s="275"/>
      <c r="J38" s="275"/>
      <c r="K38" s="275"/>
      <c r="L38" s="336"/>
      <c r="M38" s="275"/>
      <c r="N38" s="275"/>
      <c r="O38" s="275"/>
      <c r="P38" s="275"/>
      <c r="Q38" s="338"/>
      <c r="R38" s="276"/>
      <c r="S38" s="276"/>
      <c r="T38" s="276"/>
      <c r="U38" s="276"/>
      <c r="V38" s="276"/>
      <c r="W38" s="276"/>
      <c r="X38" s="277"/>
      <c r="Y38" s="291"/>
    </row>
    <row r="39" spans="2:25" s="143" customFormat="1">
      <c r="B39" s="144">
        <v>28</v>
      </c>
      <c r="C39" s="145" t="str">
        <f t="shared" si="0"/>
        <v>Uffenheim</v>
      </c>
      <c r="D39" s="62"/>
      <c r="E39" s="165"/>
      <c r="F39" s="295"/>
      <c r="H39" s="275"/>
      <c r="I39" s="275"/>
      <c r="J39" s="275"/>
      <c r="K39" s="275"/>
      <c r="L39" s="336"/>
      <c r="M39" s="275"/>
      <c r="N39" s="275"/>
      <c r="O39" s="275"/>
      <c r="P39" s="275"/>
      <c r="Q39" s="338"/>
      <c r="R39" s="276"/>
      <c r="S39" s="276"/>
      <c r="T39" s="276"/>
      <c r="U39" s="276"/>
      <c r="V39" s="276"/>
      <c r="W39" s="276"/>
      <c r="X39" s="277"/>
      <c r="Y39" s="291"/>
    </row>
    <row r="40" spans="2:25" s="143" customFormat="1">
      <c r="B40" s="144">
        <v>29</v>
      </c>
      <c r="C40" s="145" t="str">
        <f t="shared" si="0"/>
        <v>Uffenheim</v>
      </c>
      <c r="D40" s="62"/>
      <c r="E40" s="165"/>
      <c r="F40" s="295"/>
      <c r="H40" s="275"/>
      <c r="I40" s="275"/>
      <c r="J40" s="275"/>
      <c r="K40" s="275"/>
      <c r="L40" s="336"/>
      <c r="M40" s="275"/>
      <c r="N40" s="275"/>
      <c r="O40" s="275"/>
      <c r="P40" s="275"/>
      <c r="Q40" s="338"/>
      <c r="R40" s="276"/>
      <c r="S40" s="276"/>
      <c r="T40" s="276"/>
      <c r="U40" s="276"/>
      <c r="V40" s="276"/>
      <c r="W40" s="276"/>
      <c r="X40" s="277"/>
      <c r="Y40" s="291"/>
    </row>
    <row r="41" spans="2:25" s="143" customFormat="1">
      <c r="B41" s="144">
        <v>30</v>
      </c>
      <c r="C41" s="145" t="str">
        <f t="shared" si="0"/>
        <v>Uffenheim</v>
      </c>
      <c r="D41" s="62"/>
      <c r="E41" s="165"/>
      <c r="F41" s="295"/>
      <c r="H41" s="275"/>
      <c r="I41" s="275"/>
      <c r="J41" s="275"/>
      <c r="K41" s="275"/>
      <c r="L41" s="336"/>
      <c r="M41" s="275"/>
      <c r="N41" s="275"/>
      <c r="O41" s="275"/>
      <c r="P41" s="275"/>
      <c r="Q41" s="338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 H11:K11 R11:Y41 M11:P11 H27:K41 F27:F41 M27:P41">
    <cfRule type="expression" dxfId="42" priority="23">
      <formula>ISERROR(F11)</formula>
    </cfRule>
  </conditionalFormatting>
  <conditionalFormatting sqref="E27:F41 Y12:Y41">
    <cfRule type="duplicateValues" dxfId="41" priority="45"/>
  </conditionalFormatting>
  <conditionalFormatting sqref="L11:L41">
    <cfRule type="expression" dxfId="40" priority="14">
      <formula>ISERROR(L11)</formula>
    </cfRule>
  </conditionalFormatting>
  <conditionalFormatting sqref="Q11:Q41">
    <cfRule type="expression" dxfId="39" priority="13">
      <formula>ISERROR(Q11)</formula>
    </cfRule>
  </conditionalFormatting>
  <conditionalFormatting sqref="F12:F26">
    <cfRule type="expression" dxfId="25" priority="10">
      <formula>ISERROR(F12)</formula>
    </cfRule>
  </conditionalFormatting>
  <conditionalFormatting sqref="F12:F26">
    <cfRule type="duplicateValues" dxfId="23" priority="11"/>
  </conditionalFormatting>
  <conditionalFormatting sqref="H12:H26">
    <cfRule type="expression" dxfId="21" priority="9">
      <formula>ISERROR(H12)</formula>
    </cfRule>
  </conditionalFormatting>
  <conditionalFormatting sqref="I12:I26">
    <cfRule type="expression" dxfId="19" priority="8">
      <formula>ISERROR(I12)</formula>
    </cfRule>
  </conditionalFormatting>
  <conditionalFormatting sqref="J12:J26">
    <cfRule type="expression" dxfId="17" priority="7">
      <formula>ISERROR(J12)</formula>
    </cfRule>
  </conditionalFormatting>
  <conditionalFormatting sqref="K12:K26">
    <cfRule type="expression" dxfId="15" priority="6">
      <formula>ISERROR(K12)</formula>
    </cfRule>
  </conditionalFormatting>
  <conditionalFormatting sqref="M12:N26">
    <cfRule type="expression" dxfId="13" priority="5">
      <formula>ISERROR(M12)</formula>
    </cfRule>
  </conditionalFormatting>
  <conditionalFormatting sqref="O12:P14 O26:P26 O25">
    <cfRule type="expression" dxfId="11" priority="4">
      <formula>ISERROR(O12)</formula>
    </cfRule>
  </conditionalFormatting>
  <conditionalFormatting sqref="O15:O24">
    <cfRule type="expression" dxfId="6" priority="3">
      <formula>ISERROR(O15)</formula>
    </cfRule>
  </conditionalFormatting>
  <conditionalFormatting sqref="P15:P25">
    <cfRule type="expression" dxfId="4" priority="2">
      <formula>ISERROR(P15)</formula>
    </cfRule>
  </conditionalFormatting>
  <conditionalFormatting sqref="E12:E26">
    <cfRule type="duplicateValues" dxfId="2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3:X26 Q12:X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5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J12" sqref="J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Erdgas Uffenheim GmbH &amp; Co. KG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Uffenheim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9870103100002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2" t="s">
        <v>461</v>
      </c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4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7" t="s">
        <v>585</v>
      </c>
      <c r="C10" s="348"/>
      <c r="D10" s="94">
        <v>2</v>
      </c>
      <c r="E10" s="95" t="str">
        <f>IF(ISERROR(HLOOKUP(E$11,$M$9:$AD$33,$D10,0)),"",HLOOKUP(E$11,$M$9:$AD$33,$D10,0))</f>
        <v/>
      </c>
      <c r="F10" s="345" t="s">
        <v>398</v>
      </c>
      <c r="G10" s="345"/>
      <c r="H10" s="345"/>
      <c r="I10" s="345"/>
      <c r="J10" s="345"/>
      <c r="K10" s="345"/>
      <c r="L10" s="346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2">
        <f>MIN(SUMPRODUCT($M$11:$AD$11,M12:AD12),1)</f>
        <v>1</v>
      </c>
      <c r="F12" s="299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3">
        <f t="shared" ref="E13:E33" si="0">MIN(SUMPRODUCT($M$11:$AD$11,M13:AD13),1)</f>
        <v>0</v>
      </c>
      <c r="F13" s="300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>
        <v>1</v>
      </c>
    </row>
    <row r="14" spans="2:30" ht="15">
      <c r="B14" s="116" t="s">
        <v>401</v>
      </c>
      <c r="C14" s="117"/>
      <c r="D14" s="111">
        <v>6</v>
      </c>
      <c r="E14" s="303">
        <f t="shared" si="0"/>
        <v>0</v>
      </c>
      <c r="F14" s="300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3">
        <f t="shared" si="0"/>
        <v>0</v>
      </c>
      <c r="F15" s="300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3">
        <f t="shared" si="0"/>
        <v>1</v>
      </c>
      <c r="F16" s="300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3">
        <f t="shared" si="0"/>
        <v>1</v>
      </c>
      <c r="F17" s="300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3">
        <f t="shared" si="0"/>
        <v>1</v>
      </c>
      <c r="F18" s="300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3">
        <f t="shared" si="0"/>
        <v>1</v>
      </c>
      <c r="F19" s="300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3">
        <f t="shared" si="0"/>
        <v>1</v>
      </c>
      <c r="F20" s="300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3">
        <f t="shared" si="0"/>
        <v>1</v>
      </c>
      <c r="F21" s="300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3">
        <f t="shared" si="0"/>
        <v>1</v>
      </c>
      <c r="F22" s="300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3">
        <f t="shared" si="0"/>
        <v>0</v>
      </c>
      <c r="F23" s="300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>
        <v>1</v>
      </c>
    </row>
    <row r="24" spans="2:30" ht="15">
      <c r="B24" s="116" t="s">
        <v>405</v>
      </c>
      <c r="C24" s="117"/>
      <c r="D24" s="111">
        <v>16</v>
      </c>
      <c r="E24" s="303">
        <f t="shared" si="0"/>
        <v>0</v>
      </c>
      <c r="F24" s="300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3">
        <f t="shared" si="0"/>
        <v>0</v>
      </c>
      <c r="F25" s="300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3">
        <f t="shared" si="0"/>
        <v>1</v>
      </c>
      <c r="F26" s="300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3">
        <f t="shared" si="0"/>
        <v>0</v>
      </c>
      <c r="F27" s="300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3">
        <f t="shared" si="0"/>
        <v>0</v>
      </c>
      <c r="F28" s="300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>
        <v>1</v>
      </c>
    </row>
    <row r="29" spans="2:30" ht="15">
      <c r="B29" s="116" t="s">
        <v>410</v>
      </c>
      <c r="C29" s="117"/>
      <c r="D29" s="111">
        <v>21</v>
      </c>
      <c r="E29" s="303">
        <f t="shared" si="0"/>
        <v>0</v>
      </c>
      <c r="F29" s="300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3">
        <f t="shared" si="0"/>
        <v>0</v>
      </c>
      <c r="F30" s="300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3">
        <f t="shared" si="0"/>
        <v>1</v>
      </c>
      <c r="F31" s="300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3">
        <f t="shared" si="0"/>
        <v>1</v>
      </c>
      <c r="F32" s="300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4">
        <f t="shared" si="0"/>
        <v>0</v>
      </c>
      <c r="F33" s="301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36" priority="9">
      <formula>IF(E$11="NB",1,0)</formula>
    </cfRule>
  </conditionalFormatting>
  <conditionalFormatting sqref="F12:L33">
    <cfRule type="expression" dxfId="35" priority="6">
      <formula>IF($E12=1,1,0)</formula>
    </cfRule>
  </conditionalFormatting>
  <conditionalFormatting sqref="M12:AD33">
    <cfRule type="expression" dxfId="34" priority="3">
      <formula>IF(M$11=1,1)</formula>
    </cfRule>
  </conditionalFormatting>
  <conditionalFormatting sqref="M9:AD10">
    <cfRule type="expression" dxfId="33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3" t="s">
        <v>654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49" t="s">
        <v>248</v>
      </c>
      <c r="B3" s="234" t="s">
        <v>86</v>
      </c>
      <c r="C3" s="235"/>
      <c r="D3" s="351" t="s">
        <v>460</v>
      </c>
      <c r="E3" s="352"/>
      <c r="F3" s="352"/>
      <c r="G3" s="352"/>
      <c r="H3" s="352"/>
      <c r="I3" s="352"/>
      <c r="J3" s="353"/>
      <c r="K3" s="236"/>
      <c r="L3" s="236"/>
      <c r="M3" s="236"/>
      <c r="N3" s="236"/>
      <c r="O3" s="237"/>
      <c r="P3" s="236"/>
    </row>
    <row r="4" spans="1:16" ht="20.100000000000001" customHeight="1">
      <c r="A4" s="350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2" priority="2" stopIfTrue="1" operator="equal">
      <formula>$M7</formula>
    </cfRule>
  </conditionalFormatting>
  <conditionalFormatting sqref="D9:J9">
    <cfRule type="cellIs" dxfId="3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Philipp Oberndoerfer</cp:lastModifiedBy>
  <cp:lastPrinted>2015-03-20T22:59:10Z</cp:lastPrinted>
  <dcterms:created xsi:type="dcterms:W3CDTF">2015-01-15T05:25:41Z</dcterms:created>
  <dcterms:modified xsi:type="dcterms:W3CDTF">2019-02-15T07:34:29Z</dcterms:modified>
</cp:coreProperties>
</file>